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89570E77-F00E-4EF4-9C7B-0F13C3386293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Personas Físicas" sheetId="1" state="hidden" r:id="rId1"/>
    <sheet name="ISR " sheetId="4" r:id="rId2"/>
    <sheet name="IVA " sheetId="6" r:id="rId3"/>
    <sheet name="PF Sector Primario" sheetId="5" state="hidden" r:id="rId4"/>
    <sheet name="Personas Morales" sheetId="3" state="hidden" r:id="rId5"/>
  </sheets>
  <definedNames>
    <definedName name="T_ISR2022">'Personas Físicas'!$R$22:$T$26</definedName>
    <definedName name="t_isrm2022">'Personas Físicas'!$R$9:$T$13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L11" i="6"/>
  <c r="L14" i="6" s="1"/>
  <c r="N16" i="6"/>
  <c r="M16" i="6"/>
  <c r="L16" i="6"/>
  <c r="J16" i="6"/>
  <c r="G16" i="6"/>
  <c r="F16" i="6"/>
  <c r="E16" i="6"/>
  <c r="D16" i="6"/>
  <c r="C16" i="6"/>
  <c r="C14" i="6"/>
  <c r="N11" i="6"/>
  <c r="N14" i="6" s="1"/>
  <c r="M11" i="6"/>
  <c r="M14" i="6" s="1"/>
  <c r="J11" i="6"/>
  <c r="J14" i="6" s="1"/>
  <c r="I11" i="6"/>
  <c r="I14" i="6" s="1"/>
  <c r="G11" i="6"/>
  <c r="G14" i="6" s="1"/>
  <c r="F11" i="6"/>
  <c r="F14" i="6" s="1"/>
  <c r="E11" i="6"/>
  <c r="E14" i="6" s="1"/>
  <c r="D11" i="6"/>
  <c r="D14" i="6" s="1"/>
  <c r="C11" i="6"/>
  <c r="I16" i="6"/>
  <c r="H11" i="6"/>
  <c r="H14" i="6" s="1"/>
  <c r="G5" i="6"/>
  <c r="K16" i="6" l="1"/>
  <c r="K11" i="6"/>
  <c r="K14" i="6" s="1"/>
  <c r="H16" i="6"/>
  <c r="Q5" i="4" l="1"/>
  <c r="N15" i="4"/>
  <c r="M15" i="4"/>
  <c r="L15" i="4"/>
  <c r="K15" i="4"/>
  <c r="J15" i="4"/>
  <c r="I15" i="4"/>
  <c r="H15" i="4"/>
  <c r="G15" i="4"/>
  <c r="F15" i="4"/>
  <c r="E15" i="4"/>
  <c r="C15" i="4"/>
  <c r="N48" i="5" l="1"/>
  <c r="N47" i="5"/>
  <c r="N46" i="5"/>
  <c r="N45" i="5"/>
  <c r="N35" i="5"/>
  <c r="N34" i="5"/>
  <c r="N33" i="5"/>
  <c r="N32" i="5"/>
  <c r="D20" i="5"/>
  <c r="C20" i="5"/>
  <c r="E19" i="5"/>
  <c r="E18" i="5"/>
  <c r="E17" i="5"/>
  <c r="E16" i="5"/>
  <c r="E15" i="5"/>
  <c r="E14" i="5"/>
  <c r="E13" i="5"/>
  <c r="E12" i="5"/>
  <c r="E11" i="5"/>
  <c r="E10" i="5"/>
  <c r="E9" i="5"/>
  <c r="E8" i="5"/>
  <c r="L8" i="5" s="1"/>
  <c r="L9" i="5" s="1"/>
  <c r="F8" i="5" l="1"/>
  <c r="M8" i="5"/>
  <c r="E20" i="5"/>
  <c r="N8" i="4"/>
  <c r="N11" i="4" s="1"/>
  <c r="N13" i="4" s="1"/>
  <c r="M8" i="4"/>
  <c r="M11" i="4" s="1"/>
  <c r="M13" i="4" s="1"/>
  <c r="L8" i="4"/>
  <c r="L11" i="4" s="1"/>
  <c r="L13" i="4" s="1"/>
  <c r="K8" i="4"/>
  <c r="K11" i="4" s="1"/>
  <c r="K13" i="4" s="1"/>
  <c r="J8" i="4"/>
  <c r="J11" i="4" s="1"/>
  <c r="J13" i="4" s="1"/>
  <c r="I8" i="4"/>
  <c r="I11" i="4" s="1"/>
  <c r="I13" i="4" s="1"/>
  <c r="H8" i="4"/>
  <c r="H11" i="4" s="1"/>
  <c r="H13" i="4" s="1"/>
  <c r="G8" i="4"/>
  <c r="G11" i="4" s="1"/>
  <c r="G13" i="4" s="1"/>
  <c r="F8" i="4"/>
  <c r="F11" i="4" s="1"/>
  <c r="F13" i="4" s="1"/>
  <c r="E8" i="4"/>
  <c r="E11" i="4" s="1"/>
  <c r="E13" i="4" s="1"/>
  <c r="D8" i="4"/>
  <c r="C8" i="4"/>
  <c r="C11" i="4" s="1"/>
  <c r="C13" i="4" s="1"/>
  <c r="C6" i="3"/>
  <c r="D6" i="3"/>
  <c r="E6" i="3"/>
  <c r="F6" i="3"/>
  <c r="G6" i="3"/>
  <c r="H6" i="3"/>
  <c r="I6" i="3"/>
  <c r="J6" i="3"/>
  <c r="K6" i="3"/>
  <c r="L6" i="3"/>
  <c r="M6" i="3"/>
  <c r="N6" i="3"/>
  <c r="D11" i="3"/>
  <c r="E11" i="3"/>
  <c r="G11" i="3"/>
  <c r="D11" i="4" l="1"/>
  <c r="Q8" i="4"/>
  <c r="Q11" i="4" s="1"/>
  <c r="L10" i="5"/>
  <c r="F9" i="5"/>
  <c r="G9" i="5" s="1"/>
  <c r="M9" i="5"/>
  <c r="G8" i="5"/>
  <c r="E25" i="5"/>
  <c r="H11" i="3"/>
  <c r="H9" i="3"/>
  <c r="C9" i="3"/>
  <c r="C12" i="3" s="1"/>
  <c r="D9" i="3"/>
  <c r="F11" i="3"/>
  <c r="E9" i="3"/>
  <c r="F9" i="3"/>
  <c r="G9" i="3"/>
  <c r="C11" i="3"/>
  <c r="D13" i="4" l="1"/>
  <c r="D14" i="4" s="1"/>
  <c r="C14" i="3"/>
  <c r="C16" i="3" s="1"/>
  <c r="Q15" i="4"/>
  <c r="H8" i="5"/>
  <c r="I8" i="5" s="1"/>
  <c r="J8" i="5"/>
  <c r="H9" i="5"/>
  <c r="I9" i="5" s="1"/>
  <c r="J9" i="5"/>
  <c r="L11" i="5"/>
  <c r="F10" i="5"/>
  <c r="G10" i="5" s="1"/>
  <c r="M10" i="5"/>
  <c r="C18" i="3" l="1"/>
  <c r="C20" i="3"/>
  <c r="C22" i="3" s="1"/>
  <c r="C24" i="3" s="1"/>
  <c r="D23" i="3" s="1"/>
  <c r="K9" i="5"/>
  <c r="K8" i="5"/>
  <c r="M11" i="5"/>
  <c r="L12" i="5"/>
  <c r="F11" i="5"/>
  <c r="G11" i="5" s="1"/>
  <c r="J10" i="5"/>
  <c r="H10" i="5"/>
  <c r="I10" i="5" s="1"/>
  <c r="J11" i="3"/>
  <c r="I9" i="3"/>
  <c r="I11" i="3"/>
  <c r="K10" i="5" l="1"/>
  <c r="J11" i="5"/>
  <c r="H11" i="5"/>
  <c r="F12" i="5"/>
  <c r="M12" i="5"/>
  <c r="L13" i="5"/>
  <c r="J9" i="3"/>
  <c r="K11" i="3"/>
  <c r="I11" i="5" l="1"/>
  <c r="G12" i="5"/>
  <c r="L14" i="5"/>
  <c r="F13" i="5"/>
  <c r="G13" i="5" s="1"/>
  <c r="M13" i="5"/>
  <c r="L9" i="3"/>
  <c r="K9" i="3"/>
  <c r="F14" i="5" l="1"/>
  <c r="M14" i="5"/>
  <c r="L15" i="5"/>
  <c r="H12" i="5"/>
  <c r="I12" i="5" s="1"/>
  <c r="K12" i="5" s="1"/>
  <c r="J12" i="5"/>
  <c r="H13" i="5"/>
  <c r="I13" i="5" s="1"/>
  <c r="J13" i="5"/>
  <c r="K11" i="5"/>
  <c r="L11" i="3"/>
  <c r="P5" i="3"/>
  <c r="K13" i="5" l="1"/>
  <c r="M15" i="5"/>
  <c r="L16" i="5"/>
  <c r="F15" i="5"/>
  <c r="G15" i="5" s="1"/>
  <c r="G14" i="5"/>
  <c r="M9" i="3"/>
  <c r="M11" i="3"/>
  <c r="N9" i="3"/>
  <c r="J14" i="5" l="1"/>
  <c r="F16" i="5"/>
  <c r="G16" i="5" s="1"/>
  <c r="M16" i="5"/>
  <c r="L17" i="5"/>
  <c r="J15" i="5"/>
  <c r="N11" i="3"/>
  <c r="P11" i="3" s="1"/>
  <c r="P8" i="3"/>
  <c r="J16" i="5" l="1"/>
  <c r="L18" i="5"/>
  <c r="M17" i="5"/>
  <c r="F17" i="5"/>
  <c r="G17" i="5" s="1"/>
  <c r="P9" i="3"/>
  <c r="P12" i="3"/>
  <c r="J17" i="5" l="1"/>
  <c r="F18" i="5"/>
  <c r="G18" i="5" s="1"/>
  <c r="L19" i="5"/>
  <c r="M18" i="5"/>
  <c r="M19" i="5" l="1"/>
  <c r="F19" i="5"/>
  <c r="J18" i="5"/>
  <c r="J6" i="1"/>
  <c r="J7" i="1"/>
  <c r="J8" i="1"/>
  <c r="J9" i="1"/>
  <c r="J10" i="1"/>
  <c r="J11" i="1"/>
  <c r="J12" i="1"/>
  <c r="J13" i="1"/>
  <c r="J14" i="1"/>
  <c r="J15" i="1"/>
  <c r="J16" i="1"/>
  <c r="J17" i="1"/>
  <c r="D33" i="1"/>
  <c r="E33" i="1"/>
  <c r="E45" i="1" s="1"/>
  <c r="G33" i="1"/>
  <c r="H33" i="1"/>
  <c r="H45" i="1" s="1"/>
  <c r="I33" i="1"/>
  <c r="I45" i="1" s="1"/>
  <c r="D34" i="1"/>
  <c r="E34" i="1"/>
  <c r="G34" i="1"/>
  <c r="G45" i="1" s="1"/>
  <c r="H34" i="1"/>
  <c r="I34" i="1"/>
  <c r="D35" i="1"/>
  <c r="D45" i="1" s="1"/>
  <c r="E35" i="1"/>
  <c r="G35" i="1"/>
  <c r="H35" i="1"/>
  <c r="I35" i="1"/>
  <c r="N35" i="1" s="1"/>
  <c r="D36" i="1"/>
  <c r="E36" i="1"/>
  <c r="G36" i="1"/>
  <c r="H36" i="1"/>
  <c r="I36" i="1"/>
  <c r="D37" i="1"/>
  <c r="E37" i="1"/>
  <c r="G37" i="1"/>
  <c r="H37" i="1"/>
  <c r="I37" i="1"/>
  <c r="D38" i="1"/>
  <c r="E38" i="1"/>
  <c r="G38" i="1"/>
  <c r="H38" i="1"/>
  <c r="I38" i="1"/>
  <c r="N38" i="1" s="1"/>
  <c r="D39" i="1"/>
  <c r="E39" i="1"/>
  <c r="G39" i="1"/>
  <c r="H39" i="1"/>
  <c r="I39" i="1"/>
  <c r="D40" i="1"/>
  <c r="E40" i="1"/>
  <c r="G40" i="1"/>
  <c r="H40" i="1"/>
  <c r="I40" i="1"/>
  <c r="D41" i="1"/>
  <c r="E41" i="1"/>
  <c r="G41" i="1"/>
  <c r="H41" i="1"/>
  <c r="I41" i="1"/>
  <c r="D42" i="1"/>
  <c r="E42" i="1"/>
  <c r="G42" i="1"/>
  <c r="H42" i="1"/>
  <c r="I42" i="1"/>
  <c r="D43" i="1"/>
  <c r="E43" i="1"/>
  <c r="G43" i="1"/>
  <c r="H43" i="1"/>
  <c r="I43" i="1"/>
  <c r="N43" i="1" s="1"/>
  <c r="D44" i="1"/>
  <c r="E44" i="1"/>
  <c r="G44" i="1"/>
  <c r="H44" i="1"/>
  <c r="I44" i="1"/>
  <c r="C34" i="1"/>
  <c r="C35" i="1"/>
  <c r="C36" i="1"/>
  <c r="C37" i="1"/>
  <c r="C38" i="1"/>
  <c r="C39" i="1"/>
  <c r="C40" i="1"/>
  <c r="C41" i="1"/>
  <c r="C42" i="1"/>
  <c r="C43" i="1"/>
  <c r="C44" i="1"/>
  <c r="C33" i="1"/>
  <c r="C45" i="1" s="1"/>
  <c r="I18" i="1"/>
  <c r="H18" i="1"/>
  <c r="G18" i="1"/>
  <c r="E18" i="1"/>
  <c r="D18" i="1"/>
  <c r="F17" i="1"/>
  <c r="F16" i="1"/>
  <c r="F15" i="1"/>
  <c r="F14" i="1"/>
  <c r="F13" i="1"/>
  <c r="F12" i="1"/>
  <c r="F11" i="1"/>
  <c r="F10" i="1"/>
  <c r="F9" i="1"/>
  <c r="F8" i="1"/>
  <c r="F7" i="1"/>
  <c r="F6" i="1"/>
  <c r="F40" i="1" l="1"/>
  <c r="N40" i="1"/>
  <c r="K17" i="1"/>
  <c r="N39" i="1"/>
  <c r="F38" i="1"/>
  <c r="N41" i="1"/>
  <c r="N37" i="1"/>
  <c r="J35" i="1"/>
  <c r="G19" i="5"/>
  <c r="F20" i="5"/>
  <c r="N36" i="1"/>
  <c r="K15" i="1"/>
  <c r="N44" i="1"/>
  <c r="J36" i="1"/>
  <c r="K6" i="1"/>
  <c r="J43" i="1"/>
  <c r="J40" i="1"/>
  <c r="K40" i="1" s="1"/>
  <c r="M40" i="1" s="1"/>
  <c r="N42" i="1"/>
  <c r="J44" i="1"/>
  <c r="K10" i="1"/>
  <c r="J34" i="1"/>
  <c r="F42" i="1"/>
  <c r="F37" i="1"/>
  <c r="K9" i="1"/>
  <c r="J38" i="1"/>
  <c r="K38" i="1" s="1"/>
  <c r="M38" i="1" s="1"/>
  <c r="N34" i="1"/>
  <c r="K11" i="1"/>
  <c r="J42" i="1"/>
  <c r="J33" i="1"/>
  <c r="K12" i="1"/>
  <c r="J37" i="1"/>
  <c r="N33" i="1"/>
  <c r="J39" i="1"/>
  <c r="K16" i="1"/>
  <c r="J41" i="1"/>
  <c r="K7" i="1"/>
  <c r="L7" i="1" s="1"/>
  <c r="M7" i="1" s="1"/>
  <c r="O7" i="1" s="1"/>
  <c r="C50" i="1" s="1"/>
  <c r="K8" i="1"/>
  <c r="K13" i="1"/>
  <c r="K14" i="1"/>
  <c r="F39" i="1"/>
  <c r="F35" i="1"/>
  <c r="F34" i="1"/>
  <c r="F44" i="1"/>
  <c r="F41" i="1"/>
  <c r="F36" i="1"/>
  <c r="F43" i="1"/>
  <c r="F33" i="1"/>
  <c r="F18" i="1"/>
  <c r="O45" i="1"/>
  <c r="R26" i="1"/>
  <c r="R25" i="1"/>
  <c r="R24" i="1"/>
  <c r="Q13" i="4" s="1"/>
  <c r="Q14" i="4" s="1"/>
  <c r="R23" i="1"/>
  <c r="J18" i="1"/>
  <c r="C18" i="1"/>
  <c r="N17" i="1"/>
  <c r="N16" i="1"/>
  <c r="N15" i="1"/>
  <c r="N14" i="1"/>
  <c r="R13" i="1"/>
  <c r="N13" i="1"/>
  <c r="R12" i="1"/>
  <c r="N12" i="1"/>
  <c r="R11" i="1"/>
  <c r="N11" i="1"/>
  <c r="R10" i="1"/>
  <c r="N10" i="1"/>
  <c r="N9" i="1"/>
  <c r="N8" i="1"/>
  <c r="N7" i="1"/>
  <c r="N6" i="1"/>
  <c r="L11" i="1" l="1"/>
  <c r="M11" i="1" s="1"/>
  <c r="J14" i="4"/>
  <c r="J16" i="4" s="1"/>
  <c r="M14" i="4"/>
  <c r="M16" i="4" s="1"/>
  <c r="L14" i="4"/>
  <c r="L16" i="4" s="1"/>
  <c r="G14" i="4"/>
  <c r="G16" i="4" s="1"/>
  <c r="I14" i="4"/>
  <c r="I16" i="4" s="1"/>
  <c r="F14" i="4"/>
  <c r="F16" i="4" s="1"/>
  <c r="C14" i="4"/>
  <c r="C16" i="4" s="1"/>
  <c r="N14" i="4"/>
  <c r="N16" i="4" s="1"/>
  <c r="K14" i="4"/>
  <c r="K16" i="4" s="1"/>
  <c r="D16" i="4"/>
  <c r="H14" i="4"/>
  <c r="H16" i="4" s="1"/>
  <c r="E14" i="4"/>
  <c r="E16" i="4" s="1"/>
  <c r="H14" i="5"/>
  <c r="I14" i="5" s="1"/>
  <c r="K14" i="5" s="1"/>
  <c r="H15" i="5"/>
  <c r="I15" i="5" s="1"/>
  <c r="K15" i="5" s="1"/>
  <c r="H16" i="5"/>
  <c r="I16" i="5" s="1"/>
  <c r="K16" i="5" s="1"/>
  <c r="H17" i="5"/>
  <c r="I17" i="5" s="1"/>
  <c r="K17" i="5" s="1"/>
  <c r="H18" i="5"/>
  <c r="I18" i="5" s="1"/>
  <c r="K18" i="5" s="1"/>
  <c r="L14" i="1"/>
  <c r="M14" i="1" s="1"/>
  <c r="O14" i="1" s="1"/>
  <c r="C57" i="1" s="1"/>
  <c r="L13" i="1"/>
  <c r="M13" i="1" s="1"/>
  <c r="O13" i="1" s="1"/>
  <c r="C56" i="1" s="1"/>
  <c r="L12" i="1"/>
  <c r="M12" i="1" s="1"/>
  <c r="L10" i="1"/>
  <c r="M10" i="1" s="1"/>
  <c r="O10" i="1" s="1"/>
  <c r="C53" i="1" s="1"/>
  <c r="F45" i="1"/>
  <c r="K35" i="1"/>
  <c r="M35" i="1" s="1"/>
  <c r="L8" i="1"/>
  <c r="M8" i="1" s="1"/>
  <c r="O8" i="1" s="1"/>
  <c r="C51" i="1" s="1"/>
  <c r="J45" i="1"/>
  <c r="E26" i="5"/>
  <c r="E27" i="5" s="1"/>
  <c r="G20" i="5"/>
  <c r="J19" i="5"/>
  <c r="J20" i="5" s="1"/>
  <c r="E31" i="5" s="1"/>
  <c r="H19" i="5"/>
  <c r="K43" i="1"/>
  <c r="M43" i="1" s="1"/>
  <c r="P43" i="1" s="1"/>
  <c r="D59" i="1" s="1"/>
  <c r="K44" i="1"/>
  <c r="M44" i="1" s="1"/>
  <c r="K37" i="1"/>
  <c r="M37" i="1" s="1"/>
  <c r="P37" i="1" s="1"/>
  <c r="D53" i="1" s="1"/>
  <c r="E53" i="1" s="1"/>
  <c r="K42" i="1"/>
  <c r="M42" i="1" s="1"/>
  <c r="K36" i="1"/>
  <c r="M36" i="1" s="1"/>
  <c r="K34" i="1"/>
  <c r="M34" i="1" s="1"/>
  <c r="P34" i="1" s="1"/>
  <c r="D50" i="1" s="1"/>
  <c r="E50" i="1" s="1"/>
  <c r="K18" i="1"/>
  <c r="E22" i="1" s="1"/>
  <c r="E23" i="1" s="1"/>
  <c r="J24" i="1" s="1"/>
  <c r="N45" i="1"/>
  <c r="K41" i="1"/>
  <c r="M41" i="1" s="1"/>
  <c r="P41" i="1" s="1"/>
  <c r="D57" i="1" s="1"/>
  <c r="E57" i="1" s="1"/>
  <c r="K39" i="1"/>
  <c r="M39" i="1" s="1"/>
  <c r="P39" i="1" s="1"/>
  <c r="D55" i="1" s="1"/>
  <c r="O12" i="1"/>
  <c r="C55" i="1" s="1"/>
  <c r="K33" i="1"/>
  <c r="O11" i="1"/>
  <c r="C54" i="1" s="1"/>
  <c r="N18" i="1"/>
  <c r="E26" i="1" s="1"/>
  <c r="L15" i="1"/>
  <c r="M15" i="1" s="1"/>
  <c r="O15" i="1" s="1"/>
  <c r="C58" i="1" s="1"/>
  <c r="P40" i="1"/>
  <c r="D56" i="1" s="1"/>
  <c r="E56" i="1" s="1"/>
  <c r="P36" i="1"/>
  <c r="D52" i="1" s="1"/>
  <c r="P38" i="1"/>
  <c r="D54" i="1" s="1"/>
  <c r="P42" i="1"/>
  <c r="D58" i="1" s="1"/>
  <c r="P44" i="1"/>
  <c r="D60" i="1" s="1"/>
  <c r="P35" i="1"/>
  <c r="D51" i="1" s="1"/>
  <c r="E51" i="1" s="1"/>
  <c r="L9" i="1"/>
  <c r="M9" i="1" s="1"/>
  <c r="O9" i="1" s="1"/>
  <c r="C52" i="1" s="1"/>
  <c r="L17" i="1"/>
  <c r="M17" i="1" s="1"/>
  <c r="O17" i="1" s="1"/>
  <c r="C60" i="1" s="1"/>
  <c r="L6" i="1"/>
  <c r="L16" i="1"/>
  <c r="M16" i="1" s="1"/>
  <c r="O16" i="1" s="1"/>
  <c r="C59" i="1" s="1"/>
  <c r="K27" i="5" l="1"/>
  <c r="Q16" i="4"/>
  <c r="I19" i="5"/>
  <c r="E28" i="5"/>
  <c r="K28" i="5" s="1"/>
  <c r="K29" i="5" s="1"/>
  <c r="E55" i="1"/>
  <c r="K45" i="1"/>
  <c r="M33" i="1"/>
  <c r="M45" i="1" s="1"/>
  <c r="E52" i="1"/>
  <c r="E54" i="1"/>
  <c r="E24" i="1"/>
  <c r="E59" i="1"/>
  <c r="E58" i="1"/>
  <c r="J23" i="1"/>
  <c r="J25" i="1" s="1"/>
  <c r="M6" i="1"/>
  <c r="E60" i="1"/>
  <c r="R15" i="4" l="1"/>
  <c r="Q17" i="4"/>
  <c r="E29" i="5"/>
  <c r="K19" i="5"/>
  <c r="K20" i="5" s="1"/>
  <c r="E30" i="5" s="1"/>
  <c r="I20" i="5"/>
  <c r="P33" i="1"/>
  <c r="P45" i="1" s="1"/>
  <c r="M18" i="1"/>
  <c r="O6" i="1"/>
  <c r="E32" i="5" l="1"/>
  <c r="D49" i="1"/>
  <c r="D61" i="1" s="1"/>
  <c r="C49" i="1"/>
  <c r="O18" i="1"/>
  <c r="E25" i="1" s="1"/>
  <c r="E27" i="1" s="1"/>
  <c r="E49" i="1" l="1"/>
  <c r="E61" i="1" s="1"/>
  <c r="C61" i="1"/>
  <c r="G12" i="3"/>
  <c r="H12" i="3"/>
  <c r="P6" i="3"/>
  <c r="D12" i="3"/>
  <c r="L12" i="3"/>
  <c r="I12" i="3"/>
  <c r="I14" i="3" s="1"/>
  <c r="F12" i="3"/>
  <c r="K12" i="3"/>
  <c r="K14" i="3" s="1"/>
  <c r="N12" i="3"/>
  <c r="E12" i="3"/>
  <c r="J12" i="3"/>
  <c r="M12" i="3"/>
  <c r="H16" i="3" l="1"/>
  <c r="H18" i="3" s="1"/>
  <c r="H14" i="3"/>
  <c r="N14" i="3"/>
  <c r="P14" i="3" s="1"/>
  <c r="P16" i="3" s="1"/>
  <c r="L16" i="3"/>
  <c r="L18" i="3" s="1"/>
  <c r="L14" i="3"/>
  <c r="G14" i="3"/>
  <c r="G16" i="3" s="1"/>
  <c r="M16" i="3"/>
  <c r="M18" i="3" s="1"/>
  <c r="M14" i="3"/>
  <c r="D14" i="3"/>
  <c r="D16" i="3" s="1"/>
  <c r="E16" i="3"/>
  <c r="E18" i="3" s="1"/>
  <c r="E14" i="3"/>
  <c r="J14" i="3"/>
  <c r="J16" i="3" s="1"/>
  <c r="F16" i="3"/>
  <c r="F18" i="3" s="1"/>
  <c r="F20" i="3" s="1"/>
  <c r="F22" i="3" s="1"/>
  <c r="F14" i="3"/>
  <c r="I16" i="3"/>
  <c r="I18" i="3" s="1"/>
  <c r="H20" i="3"/>
  <c r="H22" i="3" s="1"/>
  <c r="L20" i="3"/>
  <c r="L22" i="3" s="1"/>
  <c r="K16" i="3"/>
  <c r="K18" i="3" s="1"/>
  <c r="J18" i="3" l="1"/>
  <c r="J20" i="3" s="1"/>
  <c r="J22" i="3" s="1"/>
  <c r="G18" i="3"/>
  <c r="G20" i="3"/>
  <c r="G22" i="3" s="1"/>
  <c r="D18" i="3"/>
  <c r="D20" i="3" s="1"/>
  <c r="D22" i="3" s="1"/>
  <c r="D24" i="3" s="1"/>
  <c r="E23" i="3" s="1"/>
  <c r="N16" i="3"/>
  <c r="E20" i="3"/>
  <c r="E22" i="3" s="1"/>
  <c r="M20" i="3"/>
  <c r="M22" i="3" s="1"/>
  <c r="I20" i="3"/>
  <c r="I22" i="3" s="1"/>
  <c r="K20" i="3"/>
  <c r="K22" i="3" s="1"/>
  <c r="E24" i="3" l="1"/>
  <c r="F23" i="3" s="1"/>
  <c r="F24" i="3" s="1"/>
  <c r="N18" i="3"/>
  <c r="P18" i="3" s="1"/>
  <c r="P20" i="3" s="1"/>
  <c r="P22" i="3" s="1"/>
  <c r="N20" i="3"/>
  <c r="N22" i="3" s="1"/>
  <c r="G23" i="3"/>
  <c r="G24" i="3" s="1"/>
  <c r="H23" i="3" l="1"/>
  <c r="H24" i="3" s="1"/>
  <c r="I23" i="3" l="1"/>
  <c r="I24" i="3" s="1"/>
  <c r="J23" i="3" s="1"/>
  <c r="J24" i="3" s="1"/>
  <c r="K23" i="3" s="1"/>
  <c r="K24" i="3" s="1"/>
  <c r="L23" i="3" l="1"/>
  <c r="L24" i="3" s="1"/>
  <c r="M23" i="3" s="1"/>
  <c r="M24" i="3" s="1"/>
  <c r="N23" i="3" s="1"/>
  <c r="N24" i="3" s="1"/>
  <c r="P23" i="3" s="1"/>
  <c r="P2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Mario Beltran</author>
  </authors>
  <commentList>
    <comment ref="O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Mario Beltran:</t>
        </r>
        <r>
          <rPr>
            <sz val="9"/>
            <color indexed="81"/>
            <rFont val="Tahoma"/>
            <family val="2"/>
          </rPr>
          <t xml:space="preserve">
Ingresar según características del contribuyente</t>
        </r>
      </text>
    </comment>
  </commentList>
</comments>
</file>

<file path=xl/sharedStrings.xml><?xml version="1.0" encoding="utf-8"?>
<sst xmlns="http://schemas.openxmlformats.org/spreadsheetml/2006/main" count="281" uniqueCount="113">
  <si>
    <t>CÁLCULO DE ISR PERSONAS FÍSICAS - RÉGIMEN SIMPLIFICADO DE CONFIANZA</t>
  </si>
  <si>
    <t>Igual:</t>
  </si>
  <si>
    <t>Por:</t>
  </si>
  <si>
    <t>Menos:</t>
  </si>
  <si>
    <t>Ingresos Personas Morales</t>
  </si>
  <si>
    <t>Total de Ingresos</t>
  </si>
  <si>
    <t>Tasa</t>
  </si>
  <si>
    <t>ISR Mensual</t>
  </si>
  <si>
    <t>ISR Retenido Persona Moral (1.25%)</t>
  </si>
  <si>
    <t>ISR a Pagar</t>
  </si>
  <si>
    <t>Enero</t>
  </si>
  <si>
    <t>Febrero</t>
  </si>
  <si>
    <t>Marzo</t>
  </si>
  <si>
    <t>TABLA 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</si>
  <si>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</si>
  <si>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</si>
  <si>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</si>
  <si>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</si>
  <si>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</si>
  <si>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</si>
  <si>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</si>
  <si>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</si>
  <si>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</si>
  <si>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</si>
  <si>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Cálculo Anual</t>
  </si>
  <si>
    <t>Resumen</t>
  </si>
  <si>
    <t>TABLA ANUAL</t>
  </si>
  <si>
    <t>Ingresos Anuales</t>
  </si>
  <si>
    <t>Tasa ISR Promedio Mensual</t>
  </si>
  <si>
    <t>Tasa Anual</t>
  </si>
  <si>
    <t>Tasa ISR Anual</t>
  </si>
  <si>
    <t>ISR Anual</t>
  </si>
  <si>
    <t>Diferencia de Tasas</t>
  </si>
  <si>
    <t>Impuesto Mensual Pagado</t>
  </si>
  <si>
    <t>Impuesto Retenido</t>
  </si>
  <si>
    <t>ISR a Cargo (A Favor)</t>
  </si>
  <si>
    <t>CÁLCULO DE PAGOS DEFINITIVOS DE IVA</t>
  </si>
  <si>
    <t>Total de Actividades</t>
  </si>
  <si>
    <t>Tasa IVA</t>
  </si>
  <si>
    <t>IVA Trasladado Mensual</t>
  </si>
  <si>
    <t>IVA Retenido Persona Moral (2/3 IVA T)</t>
  </si>
  <si>
    <t>IVA Acreditable</t>
  </si>
  <si>
    <t>IVA a Cargo (Favor)</t>
  </si>
  <si>
    <t>RESUMEN</t>
  </si>
  <si>
    <t>ISR</t>
  </si>
  <si>
    <t>IVA</t>
  </si>
  <si>
    <t>TOTAL</t>
  </si>
  <si>
    <t>Actividad Empresarial</t>
  </si>
  <si>
    <t>Actividad Profesional</t>
  </si>
  <si>
    <t>Arrendamiento Inmuebles</t>
  </si>
  <si>
    <t>PERSONAS FÍSICAS</t>
  </si>
  <si>
    <t>PERSONAS MORALES</t>
  </si>
  <si>
    <t>ELABORADO POR: MARIO BELTRÁN  www.mariobeltran.mx</t>
  </si>
  <si>
    <t>PTU Pagada</t>
  </si>
  <si>
    <t>Ejercicio 2021</t>
  </si>
  <si>
    <t>Pérdidas Fiscales por Aplicar</t>
  </si>
  <si>
    <t>Base de ISR</t>
  </si>
  <si>
    <t>Tasa ISR 30%</t>
  </si>
  <si>
    <t>ISR del Periodo</t>
  </si>
  <si>
    <t>ISR Pagos Provisionales</t>
  </si>
  <si>
    <t>Elaborado por: Mario Beltrán</t>
  </si>
  <si>
    <t>www.mariobeltran.mx</t>
  </si>
  <si>
    <t>Ingresos efectivamente percibidos</t>
  </si>
  <si>
    <t>Ingresos efectivamente percibidos acumulados</t>
  </si>
  <si>
    <t>Deducciones efectivamente erogadas</t>
  </si>
  <si>
    <t>Deducciones efectivamente erogadas acumuladas</t>
  </si>
  <si>
    <t>Utilidad Fiscal del mes Previa</t>
  </si>
  <si>
    <t>Pérdidas Fiscales Pendientes de Aplicar</t>
  </si>
  <si>
    <t>Utilidad Fiscal Acumulada Previa antes de PTU</t>
  </si>
  <si>
    <t>Utilidad Fiscal Acumulada Previa antes de Pérdidas Fiscales</t>
  </si>
  <si>
    <t>Declaración Anual</t>
  </si>
  <si>
    <t>Ingresos de Personas Físicas</t>
  </si>
  <si>
    <t>Ingresos de Personas Físicas - Actividad Empresarial -</t>
  </si>
  <si>
    <t>Total de Ingresos del Mes</t>
  </si>
  <si>
    <t>ISR Retenido</t>
  </si>
  <si>
    <t>ISR Pagado Mes</t>
  </si>
  <si>
    <t>Pagos Mensuales</t>
  </si>
  <si>
    <t>Pagos Definitivos</t>
  </si>
  <si>
    <t>CÁLCULO DE ISR PERSONAS FÍSICAS - RÉGIMEN SIMPLIFICADO DE CONFIANZA - AGASPE</t>
  </si>
  <si>
    <t>Meses</t>
  </si>
  <si>
    <t>Personas Físicas</t>
  </si>
  <si>
    <t>Personas Morales</t>
  </si>
  <si>
    <t>Ingresos Exentos</t>
  </si>
  <si>
    <t>Ingresos Gravados</t>
  </si>
  <si>
    <t>Ingresos Acumulados</t>
  </si>
  <si>
    <t>Ingresos Gravables</t>
  </si>
  <si>
    <t>DETERMINACIÓN DE PAGOS MENSUALES 2022</t>
  </si>
  <si>
    <t>RÉGIMEN SIMPLIFICADO DE CONFIANZA PESONAS FÍSICAS</t>
  </si>
  <si>
    <t>RÉGIMEN SIMPLIFICADO DE CONFIANZA PESONAS MORALES</t>
  </si>
  <si>
    <t>DETERMINACIÓN DE PAGOS PROVISIONALES 2022</t>
  </si>
  <si>
    <t xml:space="preserve">R.F.C.: </t>
  </si>
  <si>
    <t>Régimen de Actividad Empresarial y Profesional</t>
  </si>
  <si>
    <t>Calculo de los Pagos Definitivos Mensuales del Impuesto al Valor Agregado</t>
  </si>
  <si>
    <t>Cuenta</t>
  </si>
  <si>
    <t>Concepto</t>
  </si>
  <si>
    <t>204-001-001</t>
  </si>
  <si>
    <t>Impuesto Cobrado</t>
  </si>
  <si>
    <t>134-001-001</t>
  </si>
  <si>
    <t>Impuesto Pagado</t>
  </si>
  <si>
    <t>130-001-001</t>
  </si>
  <si>
    <t>Impuesto Determinado</t>
  </si>
  <si>
    <t>120-000-000</t>
  </si>
  <si>
    <t>IVA a Favor periodo Anterior</t>
  </si>
  <si>
    <t xml:space="preserve">Recargos y Actualizaciones </t>
  </si>
  <si>
    <t>210-001-001</t>
  </si>
  <si>
    <t>IVA por Pagar</t>
  </si>
  <si>
    <t>IVA A Favor</t>
  </si>
  <si>
    <t>Ejercicio 2022</t>
  </si>
  <si>
    <t>DETERMINACIÓN DE PAGOS MENSUALES 2025</t>
  </si>
  <si>
    <t>Ejercicio 2025</t>
  </si>
  <si>
    <t>Ingresos de Personas Morales - Actividad Empresarial</t>
  </si>
  <si>
    <t xml:space="preserve">Formato tomado de la pagina de Mario Beltran </t>
  </si>
  <si>
    <t>Formato  Propio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</si>
</sst>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0"/>
    <numFmt numFmtId="165" formatCode="_-* #,##0.0000_-;\-* #,##0.0000_-;_-* &quot;-&quot;??_-;_-@_-"/>
    <numFmt numFmtId="166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Agency FB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 style="thin">
        <color rgb="FF0070C0"/>
      </bottom>
      <diagonal/>
    </border>
    <border>
      <left/>
      <right/>
      <top style="medium">
        <color indexed="64"/>
      </top>
      <bottom style="thin">
        <color rgb="FF0070C0"/>
      </bottom>
      <diagonal/>
    </border>
    <border>
      <left/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medium">
        <color indexed="64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/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medium">
        <color indexed="64"/>
      </right>
      <top style="thin">
        <color rgb="FF0070C0"/>
      </top>
      <bottom style="medium">
        <color indexed="64"/>
      </bottom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10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0" fontId="0" fillId="0" borderId="1" xfId="1" applyNumberFormat="1" applyFont="1" applyBorder="1" applyAlignment="1">
      <alignment horizontal="center"/>
    </xf>
    <xf numFmtId="4" fontId="0" fillId="0" borderId="0" xfId="0" applyNumberForma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5" fillId="7" borderId="1" xfId="0" applyFont="1" applyFill="1" applyBorder="1" applyAlignment="1">
      <alignment horizontal="center"/>
    </xf>
    <xf numFmtId="0" fontId="0" fillId="0" borderId="0" xfId="0" applyBorder="1"/>
    <xf numFmtId="10" fontId="0" fillId="0" borderId="1" xfId="0" applyNumberForma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10" fontId="0" fillId="0" borderId="1" xfId="1" applyNumberFormat="1" applyFont="1" applyBorder="1"/>
    <xf numFmtId="0" fontId="3" fillId="0" borderId="4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0" fillId="0" borderId="6" xfId="0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17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" xfId="0" applyFont="1" applyBorder="1"/>
    <xf numFmtId="0" fontId="0" fillId="0" borderId="6" xfId="0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0" fontId="2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4" fontId="2" fillId="4" borderId="12" xfId="0" applyNumberFormat="1" applyFont="1" applyFill="1" applyBorder="1" applyAlignment="1">
      <alignment horizontal="center"/>
    </xf>
    <xf numFmtId="10" fontId="3" fillId="0" borderId="13" xfId="1" applyNumberFormat="1" applyFont="1" applyBorder="1" applyAlignment="1">
      <alignment horizontal="center"/>
    </xf>
    <xf numFmtId="4" fontId="2" fillId="5" borderId="13" xfId="0" applyNumberFormat="1" applyFont="1" applyFill="1" applyBorder="1" applyAlignment="1">
      <alignment horizontal="center"/>
    </xf>
    <xf numFmtId="4" fontId="2" fillId="5" borderId="14" xfId="0" applyNumberFormat="1" applyFont="1" applyFill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0" fontId="0" fillId="0" borderId="18" xfId="0" applyBorder="1"/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left"/>
    </xf>
    <xf numFmtId="0" fontId="3" fillId="0" borderId="18" xfId="0" applyFont="1" applyBorder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3" fillId="10" borderId="12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4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4" fontId="3" fillId="8" borderId="20" xfId="0" applyNumberFormat="1" applyFont="1" applyFill="1" applyBorder="1" applyAlignment="1">
      <alignment horizontal="center"/>
    </xf>
    <xf numFmtId="4" fontId="3" fillId="8" borderId="21" xfId="0" applyNumberFormat="1" applyFont="1" applyFill="1" applyBorder="1" applyAlignment="1">
      <alignment horizontal="center"/>
    </xf>
    <xf numFmtId="4" fontId="3" fillId="8" borderId="22" xfId="0" applyNumberFormat="1" applyFont="1" applyFill="1" applyBorder="1" applyAlignment="1">
      <alignment horizontal="center"/>
    </xf>
    <xf numFmtId="4" fontId="3" fillId="9" borderId="20" xfId="0" applyNumberFormat="1" applyFont="1" applyFill="1" applyBorder="1" applyAlignment="1">
      <alignment horizontal="center"/>
    </xf>
    <xf numFmtId="4" fontId="3" fillId="9" borderId="21" xfId="0" applyNumberFormat="1" applyFont="1" applyFill="1" applyBorder="1" applyAlignment="1">
      <alignment horizontal="center"/>
    </xf>
    <xf numFmtId="4" fontId="3" fillId="9" borderId="22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0" fillId="0" borderId="0" xfId="0" applyFont="1" applyAlignment="1">
      <alignment horizontal="right"/>
    </xf>
    <xf numFmtId="0" fontId="0" fillId="0" borderId="0" xfId="0" applyFont="1"/>
    <xf numFmtId="0" fontId="3" fillId="0" borderId="0" xfId="0" applyFont="1" applyAlignment="1">
      <alignment horizontal="right" vertical="center" wrapText="1"/>
    </xf>
    <xf numFmtId="0" fontId="2" fillId="11" borderId="0" xfId="0" applyFont="1" applyFill="1" applyAlignment="1">
      <alignment horizontal="center" vertical="center" wrapText="1"/>
    </xf>
    <xf numFmtId="4" fontId="2" fillId="11" borderId="0" xfId="0" applyNumberFormat="1" applyFont="1" applyFill="1" applyAlignment="1">
      <alignment horizontal="center" vertical="center" wrapText="1"/>
    </xf>
    <xf numFmtId="0" fontId="2" fillId="11" borderId="2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0" fontId="0" fillId="0" borderId="0" xfId="0" applyNumberFormat="1" applyFont="1" applyAlignment="1">
      <alignment horizontal="center"/>
    </xf>
    <xf numFmtId="0" fontId="13" fillId="0" borderId="0" xfId="2" applyFont="1"/>
    <xf numFmtId="0" fontId="3" fillId="15" borderId="0" xfId="0" applyFont="1" applyFill="1"/>
    <xf numFmtId="4" fontId="3" fillId="15" borderId="0" xfId="0" applyNumberFormat="1" applyFont="1" applyFill="1" applyAlignment="1">
      <alignment horizontal="center"/>
    </xf>
    <xf numFmtId="0" fontId="3" fillId="12" borderId="0" xfId="0" applyFont="1" applyFill="1"/>
    <xf numFmtId="4" fontId="3" fillId="12" borderId="0" xfId="0" applyNumberFormat="1" applyFont="1" applyFill="1" applyAlignment="1">
      <alignment horizontal="center"/>
    </xf>
    <xf numFmtId="0" fontId="3" fillId="13" borderId="0" xfId="0" applyFont="1" applyFill="1"/>
    <xf numFmtId="4" fontId="3" fillId="13" borderId="0" xfId="0" applyNumberFormat="1" applyFont="1" applyFill="1" applyAlignment="1">
      <alignment horizontal="center"/>
    </xf>
    <xf numFmtId="0" fontId="3" fillId="14" borderId="0" xfId="0" applyFont="1" applyFill="1"/>
    <xf numFmtId="4" fontId="0" fillId="14" borderId="0" xfId="0" applyNumberFormat="1" applyFont="1" applyFill="1" applyAlignment="1">
      <alignment horizontal="center"/>
    </xf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2" fillId="16" borderId="0" xfId="0" applyFont="1" applyFill="1" applyBorder="1" applyAlignment="1">
      <alignment horizontal="center" vertical="center" wrapText="1"/>
    </xf>
    <xf numFmtId="0" fontId="3" fillId="17" borderId="0" xfId="0" applyFont="1" applyFill="1" applyBorder="1" applyAlignment="1">
      <alignment horizontal="left"/>
    </xf>
    <xf numFmtId="4" fontId="0" fillId="17" borderId="0" xfId="0" applyNumberFormat="1" applyFill="1" applyBorder="1" applyAlignment="1">
      <alignment horizontal="center"/>
    </xf>
    <xf numFmtId="4" fontId="3" fillId="17" borderId="0" xfId="0" applyNumberFormat="1" applyFont="1" applyFill="1" applyBorder="1" applyAlignment="1">
      <alignment horizontal="center"/>
    </xf>
    <xf numFmtId="4" fontId="3" fillId="18" borderId="0" xfId="0" applyNumberFormat="1" applyFont="1" applyFill="1" applyBorder="1" applyAlignment="1">
      <alignment horizontal="center"/>
    </xf>
    <xf numFmtId="10" fontId="3" fillId="17" borderId="0" xfId="1" applyNumberFormat="1" applyFont="1" applyFill="1" applyBorder="1" applyAlignment="1">
      <alignment horizontal="center"/>
    </xf>
    <xf numFmtId="0" fontId="3" fillId="19" borderId="0" xfId="0" applyFont="1" applyFill="1" applyBorder="1" applyAlignment="1">
      <alignment horizontal="left"/>
    </xf>
    <xf numFmtId="4" fontId="0" fillId="19" borderId="0" xfId="0" applyNumberFormat="1" applyFill="1" applyBorder="1" applyAlignment="1">
      <alignment horizontal="center"/>
    </xf>
    <xf numFmtId="4" fontId="3" fillId="19" borderId="0" xfId="0" applyNumberFormat="1" applyFont="1" applyFill="1" applyBorder="1" applyAlignment="1">
      <alignment horizontal="center"/>
    </xf>
    <xf numFmtId="10" fontId="3" fillId="19" borderId="0" xfId="1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8" borderId="0" xfId="0" applyNumberFormat="1" applyFont="1" applyFill="1" applyBorder="1" applyAlignment="1">
      <alignment horizontal="center"/>
    </xf>
    <xf numFmtId="4" fontId="3" fillId="9" borderId="0" xfId="0" applyNumberFormat="1" applyFon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center"/>
    </xf>
    <xf numFmtId="4" fontId="2" fillId="16" borderId="0" xfId="0" applyNumberFormat="1" applyFont="1" applyFill="1" applyBorder="1" applyAlignment="1">
      <alignment horizontal="center"/>
    </xf>
    <xf numFmtId="4" fontId="2" fillId="5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5" fillId="6" borderId="0" xfId="0" applyFont="1" applyFill="1" applyBorder="1" applyAlignment="1"/>
    <xf numFmtId="0" fontId="5" fillId="7" borderId="0" xfId="0" applyFont="1" applyFill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right"/>
    </xf>
    <xf numFmtId="1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165" fontId="15" fillId="0" borderId="0" xfId="3" applyNumberFormat="1" applyFont="1"/>
    <xf numFmtId="0" fontId="16" fillId="0" borderId="0" xfId="0" applyFont="1"/>
    <xf numFmtId="43" fontId="15" fillId="0" borderId="0" xfId="3" applyFont="1"/>
    <xf numFmtId="43" fontId="15" fillId="0" borderId="0" xfId="0" applyNumberFormat="1" applyFont="1"/>
    <xf numFmtId="0" fontId="17" fillId="0" borderId="0" xfId="0" applyFont="1"/>
    <xf numFmtId="0" fontId="18" fillId="15" borderId="33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9" fillId="19" borderId="33" xfId="0" applyFont="1" applyFill="1" applyBorder="1" applyAlignment="1">
      <alignment vertical="center"/>
    </xf>
    <xf numFmtId="166" fontId="20" fillId="19" borderId="33" xfId="3" applyNumberFormat="1" applyFont="1" applyFill="1" applyBorder="1" applyAlignment="1" applyProtection="1">
      <alignment vertical="center"/>
    </xf>
    <xf numFmtId="0" fontId="18" fillId="10" borderId="33" xfId="0" applyFont="1" applyFill="1" applyBorder="1" applyAlignment="1">
      <alignment vertical="center"/>
    </xf>
    <xf numFmtId="166" fontId="18" fillId="10" borderId="33" xfId="3" applyNumberFormat="1" applyFont="1" applyFill="1" applyBorder="1" applyAlignment="1">
      <alignment vertical="center"/>
    </xf>
    <xf numFmtId="43" fontId="15" fillId="0" borderId="0" xfId="0" applyNumberFormat="1" applyFont="1" applyAlignment="1">
      <alignment vertical="center"/>
    </xf>
    <xf numFmtId="0" fontId="15" fillId="13" borderId="0" xfId="0" applyFont="1" applyFill="1" applyAlignment="1">
      <alignment vertical="center"/>
    </xf>
    <xf numFmtId="166" fontId="19" fillId="19" borderId="34" xfId="3" applyNumberFormat="1" applyFont="1" applyFill="1" applyBorder="1" applyAlignment="1" applyProtection="1">
      <alignment vertical="center"/>
    </xf>
    <xf numFmtId="166" fontId="19" fillId="19" borderId="33" xfId="3" applyNumberFormat="1" applyFont="1" applyFill="1" applyBorder="1" applyAlignment="1" applyProtection="1">
      <alignment vertical="center"/>
    </xf>
    <xf numFmtId="166" fontId="19" fillId="19" borderId="33" xfId="3" applyNumberFormat="1" applyFont="1" applyFill="1" applyBorder="1" applyAlignment="1" applyProtection="1"/>
    <xf numFmtId="0" fontId="19" fillId="0" borderId="0" xfId="0" applyFont="1"/>
    <xf numFmtId="166" fontId="19" fillId="0" borderId="0" xfId="3" applyNumberFormat="1" applyFont="1"/>
    <xf numFmtId="43" fontId="19" fillId="0" borderId="0" xfId="3" applyFont="1"/>
    <xf numFmtId="166" fontId="0" fillId="0" borderId="0" xfId="0" applyNumberFormat="1"/>
    <xf numFmtId="43" fontId="19" fillId="0" borderId="0" xfId="3" applyFont="1" applyBorder="1"/>
    <xf numFmtId="43" fontId="19" fillId="0" borderId="0" xfId="0" applyNumberFormat="1" applyFont="1"/>
    <xf numFmtId="166" fontId="15" fillId="0" borderId="0" xfId="0" applyNumberFormat="1" applyFont="1"/>
    <xf numFmtId="0" fontId="21" fillId="0" borderId="0" xfId="0" applyFont="1"/>
    <xf numFmtId="0" fontId="18" fillId="0" borderId="0" xfId="0" applyFont="1" applyAlignment="1">
      <alignment horizontal="center" vertical="center"/>
    </xf>
    <xf numFmtId="43" fontId="22" fillId="0" borderId="0" xfId="0" applyNumberFormat="1" applyFont="1"/>
    <xf numFmtId="4" fontId="0" fillId="0" borderId="0" xfId="0" applyNumberFormat="1" applyFont="1"/>
    <xf numFmtId="43" fontId="0" fillId="0" borderId="0" xfId="3" applyFont="1"/>
    <xf numFmtId="0" fontId="0" fillId="0" borderId="0" xfId="0" applyFont="1" applyFill="1" applyAlignment="1">
      <alignment horizontal="right"/>
    </xf>
    <xf numFmtId="0" fontId="0" fillId="0" borderId="0" xfId="0" applyFont="1" applyFill="1"/>
    <xf numFmtId="10" fontId="3" fillId="0" borderId="1" xfId="1" applyNumberFormat="1" applyFont="1" applyFill="1" applyBorder="1" applyAlignment="1">
      <alignment horizontal="center"/>
    </xf>
    <xf numFmtId="10" fontId="0" fillId="0" borderId="0" xfId="0" applyNumberFormat="1" applyFont="1" applyFill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/>
    <xf numFmtId="4" fontId="0" fillId="0" borderId="0" xfId="0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left"/>
    </xf>
    <xf numFmtId="0" fontId="3" fillId="8" borderId="7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0" borderId="9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left"/>
    </xf>
    <xf numFmtId="0" fontId="5" fillId="6" borderId="3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left"/>
    </xf>
    <xf numFmtId="4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</cellXfs>
  <cellStyles count="4">
    <cellStyle name="Hipervínculo" xfId="2" builtinId="8"/>
    <cellStyle name="Millares" xfId="3" builtinId="3"/>
    <cellStyle name="Normal" xfId="0" builtinId="0"/>
    <cellStyle name="Porcentaje" xfId="1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4" tint="0.59996337778862885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4" tint="0.59996337778862885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4" tint="0.59996337778862885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theme="4" tint="0.59996337778862885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553640</xdr:colOff>
      <xdr:row>30</xdr:row>
      <xdr:rowOff>14176</xdr:rowOff>
    </xdr:from>
    <xdr:to>
      <xdr:col>3</xdr:col>
      <xdr:colOff>684608</xdr:colOff>
      <xdr:row>34</xdr:row>
      <xdr:rowOff>100635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5315" y="5929201"/>
          <a:ext cx="940593" cy="848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mariobeltra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topLeftCell="A40" workbookViewId="0">
      <selection activeCell="B22" sqref="B22"/>
    </sheetView>
  </sheetViews>
  <sheetFormatPr baseColWidth="10" defaultRowHeight="15" x14ac:dyDescent="0.25"/>
  <cols>
    <col min="1" max="1" width="11.42578125" style="2"/>
    <col min="2" max="2" width="19.42578125" style="4" bestFit="1" customWidth="1"/>
    <col min="3" max="3" width="12.5703125" style="2" bestFit="1" customWidth="1"/>
    <col min="4" max="4" width="12.5703125" style="2" customWidth="1"/>
    <col min="5" max="5" width="14.42578125" style="2" customWidth="1"/>
    <col min="6" max="8" width="12.5703125" style="2" customWidth="1"/>
    <col min="9" max="9" width="15.42578125" style="2" customWidth="1"/>
    <col min="10" max="10" width="11.5703125" style="2" bestFit="1" customWidth="1"/>
    <col min="11" max="11" width="12.5703125" style="2" bestFit="1" customWidth="1"/>
    <col min="12" max="13" width="11.5703125" style="2" bestFit="1" customWidth="1"/>
    <col min="14" max="14" width="13.85546875" style="2" bestFit="1" customWidth="1"/>
    <col min="15" max="15" width="13.85546875" style="2" customWidth="1"/>
    <col min="16" max="16" width="11.5703125" style="2" bestFit="1" customWidth="1"/>
    <col min="17" max="17" width="11.42578125" style="2"/>
    <col min="18" max="18" width="12.140625" style="2" bestFit="1" customWidth="1"/>
    <col min="19" max="19" width="12.7109375" style="2" bestFit="1" customWidth="1"/>
    <col min="20" max="16384" width="11.42578125" style="2"/>
  </cols>
  <sheetData>
    <row r="1" spans="1:20" s="70" customFormat="1" ht="18.75" x14ac:dyDescent="0.25">
      <c r="B1" s="71" t="s">
        <v>52</v>
      </c>
    </row>
    <row r="2" spans="1:20" ht="15.75" thickBot="1" x14ac:dyDescent="0.3">
      <c r="B2" s="63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20" ht="15.75" thickBot="1" x14ac:dyDescent="0.3">
      <c r="A3" s="39"/>
      <c r="B3" s="201" t="s">
        <v>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3"/>
      <c r="P3" s="47"/>
    </row>
    <row r="4" spans="1:20" s="5" customFormat="1" x14ac:dyDescent="0.25">
      <c r="A4" s="37"/>
      <c r="B4" s="199" t="s">
        <v>76</v>
      </c>
      <c r="C4" s="193" t="s">
        <v>50</v>
      </c>
      <c r="D4" s="194"/>
      <c r="E4" s="194"/>
      <c r="F4" s="195"/>
      <c r="G4" s="196" t="s">
        <v>51</v>
      </c>
      <c r="H4" s="197"/>
      <c r="I4" s="197"/>
      <c r="J4" s="198"/>
      <c r="K4" s="49" t="s">
        <v>1</v>
      </c>
      <c r="L4" s="50" t="s">
        <v>2</v>
      </c>
      <c r="M4" s="51" t="s">
        <v>1</v>
      </c>
      <c r="N4" s="50" t="s">
        <v>3</v>
      </c>
      <c r="O4" s="52" t="s">
        <v>1</v>
      </c>
      <c r="P4" s="45"/>
    </row>
    <row r="5" spans="1:20" s="6" customFormat="1" ht="45.75" thickBot="1" x14ac:dyDescent="0.3">
      <c r="A5" s="38"/>
      <c r="B5" s="200"/>
      <c r="C5" s="75" t="s">
        <v>47</v>
      </c>
      <c r="D5" s="76" t="s">
        <v>48</v>
      </c>
      <c r="E5" s="76" t="s">
        <v>49</v>
      </c>
      <c r="F5" s="77" t="s">
        <v>23</v>
      </c>
      <c r="G5" s="72" t="s">
        <v>47</v>
      </c>
      <c r="H5" s="73" t="s">
        <v>48</v>
      </c>
      <c r="I5" s="73" t="s">
        <v>49</v>
      </c>
      <c r="J5" s="74" t="s">
        <v>4</v>
      </c>
      <c r="K5" s="84" t="s">
        <v>5</v>
      </c>
      <c r="L5" s="85" t="s">
        <v>6</v>
      </c>
      <c r="M5" s="85" t="s">
        <v>7</v>
      </c>
      <c r="N5" s="85" t="s">
        <v>8</v>
      </c>
      <c r="O5" s="86" t="s">
        <v>9</v>
      </c>
      <c r="P5" s="46"/>
    </row>
    <row r="6" spans="1:20" x14ac:dyDescent="0.25">
      <c r="A6" s="39"/>
      <c r="B6" s="40" t="s">
        <v>10</v>
      </c>
      <c r="C6" s="31">
        <v>10000</v>
      </c>
      <c r="D6" s="32">
        <v>10000</v>
      </c>
      <c r="E6" s="32">
        <v>10000</v>
      </c>
      <c r="F6" s="59">
        <f>SUM(C6:E6)</f>
        <v>30000</v>
      </c>
      <c r="G6" s="31">
        <v>10000</v>
      </c>
      <c r="H6" s="32">
        <v>10000</v>
      </c>
      <c r="I6" s="32">
        <v>10000</v>
      </c>
      <c r="J6" s="59">
        <f t="shared" ref="J6:J17" si="0">SUM(G6:I6)</f>
        <v>30000</v>
      </c>
      <c r="K6" s="53">
        <f>+F6+J6</f>
        <v>60000</v>
      </c>
      <c r="L6" s="9">
        <f t="shared" ref="L6:L17" si="1">+VLOOKUP(K6,t_isrm2022,3)</f>
        <v>1.4999999999999999E-2</v>
      </c>
      <c r="M6" s="8">
        <f t="shared" ref="M6:M17" si="2">+K6*L6</f>
        <v>900</v>
      </c>
      <c r="N6" s="3">
        <f t="shared" ref="N6:N17" si="3">+J6*1.25%</f>
        <v>375</v>
      </c>
      <c r="O6" s="54">
        <f t="shared" ref="O6:O17" si="4">+IF(M6&gt;N6,M6-N6,0)</f>
        <v>525</v>
      </c>
      <c r="P6" s="47"/>
    </row>
    <row r="7" spans="1:20" x14ac:dyDescent="0.25">
      <c r="A7" s="39"/>
      <c r="B7" s="40" t="s">
        <v>11</v>
      </c>
      <c r="C7" s="27">
        <v>10000</v>
      </c>
      <c r="D7" s="3">
        <v>10000</v>
      </c>
      <c r="E7" s="3">
        <v>10000</v>
      </c>
      <c r="F7" s="54">
        <f t="shared" ref="F7:F17" si="5">SUM(C7:E7)</f>
        <v>30000</v>
      </c>
      <c r="G7" s="27">
        <v>10000</v>
      </c>
      <c r="H7" s="3">
        <v>10000</v>
      </c>
      <c r="I7" s="3">
        <v>10000</v>
      </c>
      <c r="J7" s="59">
        <f t="shared" si="0"/>
        <v>30000</v>
      </c>
      <c r="K7" s="53">
        <f t="shared" ref="K7:K17" si="6">+F7+J7</f>
        <v>60000</v>
      </c>
      <c r="L7" s="9">
        <f t="shared" si="1"/>
        <v>1.4999999999999999E-2</v>
      </c>
      <c r="M7" s="8">
        <f t="shared" si="2"/>
        <v>900</v>
      </c>
      <c r="N7" s="3">
        <f t="shared" si="3"/>
        <v>375</v>
      </c>
      <c r="O7" s="54">
        <f t="shared" si="4"/>
        <v>525</v>
      </c>
      <c r="P7" s="47"/>
    </row>
    <row r="8" spans="1:20" x14ac:dyDescent="0.25">
      <c r="A8" s="39"/>
      <c r="B8" s="40" t="s">
        <v>12</v>
      </c>
      <c r="C8" s="27">
        <v>10000</v>
      </c>
      <c r="D8" s="3">
        <v>10000</v>
      </c>
      <c r="E8" s="3">
        <v>10000</v>
      </c>
      <c r="F8" s="54">
        <f t="shared" si="5"/>
        <v>30000</v>
      </c>
      <c r="G8" s="27">
        <v>10000</v>
      </c>
      <c r="H8" s="3">
        <v>10000</v>
      </c>
      <c r="I8" s="3">
        <v>10000</v>
      </c>
      <c r="J8" s="59">
        <f t="shared" si="0"/>
        <v>30000</v>
      </c>
      <c r="K8" s="53">
        <f t="shared" si="6"/>
        <v>60000</v>
      </c>
      <c r="L8" s="9">
        <f t="shared" si="1"/>
        <v>1.4999999999999999E-2</v>
      </c>
      <c r="M8" s="8">
        <f t="shared" si="2"/>
        <v>900</v>
      </c>
      <c r="N8" s="3">
        <f t="shared" si="3"/>
        <v>375</v>
      </c>
      <c r="O8" s="54">
        <f t="shared" si="4"/>
        <v>525</v>
      </c>
      <c r="P8" s="47"/>
      <c r="R8" s="10" t="s">
        <v>13</v>
      </c>
      <c r="S8" s="6"/>
    </row>
    <row r="9" spans="1:20" x14ac:dyDescent="0.25">
      <c r="A9" s="39"/>
      <c r="B9" s="40" t="s">
        <v>14</v>
      </c>
      <c r="C9" s="27">
        <v>10000</v>
      </c>
      <c r="D9" s="3">
        <v>10000</v>
      </c>
      <c r="E9" s="3">
        <v>10000</v>
      </c>
      <c r="F9" s="54">
        <f t="shared" si="5"/>
        <v>30000</v>
      </c>
      <c r="G9" s="27">
        <v>10000</v>
      </c>
      <c r="H9" s="3">
        <v>10000</v>
      </c>
      <c r="I9" s="3">
        <v>10000</v>
      </c>
      <c r="J9" s="59">
        <f t="shared" si="0"/>
        <v>30000</v>
      </c>
      <c r="K9" s="53">
        <f t="shared" si="6"/>
        <v>60000</v>
      </c>
      <c r="L9" s="9">
        <f t="shared" si="1"/>
        <v>1.4999999999999999E-2</v>
      </c>
      <c r="M9" s="8">
        <f t="shared" si="2"/>
        <v>900</v>
      </c>
      <c r="N9" s="3">
        <f t="shared" si="3"/>
        <v>375</v>
      </c>
      <c r="O9" s="54">
        <f t="shared" si="4"/>
        <v>525</v>
      </c>
      <c r="P9" s="47"/>
      <c r="R9" s="3">
        <v>1</v>
      </c>
      <c r="S9" s="3">
        <v>25000</v>
      </c>
      <c r="T9" s="11">
        <v>0.01</v>
      </c>
    </row>
    <row r="10" spans="1:20" x14ac:dyDescent="0.25">
      <c r="A10" s="39"/>
      <c r="B10" s="40" t="s">
        <v>15</v>
      </c>
      <c r="C10" s="27">
        <v>10000</v>
      </c>
      <c r="D10" s="3">
        <v>10000</v>
      </c>
      <c r="E10" s="3">
        <v>10000</v>
      </c>
      <c r="F10" s="54">
        <f t="shared" si="5"/>
        <v>30000</v>
      </c>
      <c r="G10" s="27">
        <v>10000</v>
      </c>
      <c r="H10" s="3">
        <v>10000</v>
      </c>
      <c r="I10" s="3">
        <v>10000</v>
      </c>
      <c r="J10" s="59">
        <f t="shared" si="0"/>
        <v>30000</v>
      </c>
      <c r="K10" s="53">
        <f t="shared" si="6"/>
        <v>60000</v>
      </c>
      <c r="L10" s="9">
        <f t="shared" si="1"/>
        <v>1.4999999999999999E-2</v>
      </c>
      <c r="M10" s="8">
        <f t="shared" si="2"/>
        <v>900</v>
      </c>
      <c r="N10" s="3">
        <f t="shared" si="3"/>
        <v>375</v>
      </c>
      <c r="O10" s="54">
        <f t="shared" si="4"/>
        <v>525</v>
      </c>
      <c r="P10" s="47"/>
      <c r="R10" s="3">
        <f>+S9+1</f>
        <v>25001</v>
      </c>
      <c r="S10" s="3">
        <v>50000</v>
      </c>
      <c r="T10" s="11">
        <v>1.0999999999999999E-2</v>
      </c>
    </row>
    <row r="11" spans="1:20" x14ac:dyDescent="0.25">
      <c r="A11" s="39"/>
      <c r="B11" s="40" t="s">
        <v>16</v>
      </c>
      <c r="C11" s="27">
        <v>10000</v>
      </c>
      <c r="D11" s="3">
        <v>10000</v>
      </c>
      <c r="E11" s="3">
        <v>10000</v>
      </c>
      <c r="F11" s="54">
        <f t="shared" si="5"/>
        <v>30000</v>
      </c>
      <c r="G11" s="27">
        <v>10000</v>
      </c>
      <c r="H11" s="3">
        <v>10000</v>
      </c>
      <c r="I11" s="3">
        <v>10000</v>
      </c>
      <c r="J11" s="59">
        <f t="shared" si="0"/>
        <v>30000</v>
      </c>
      <c r="K11" s="53">
        <f t="shared" si="6"/>
        <v>60000</v>
      </c>
      <c r="L11" s="9">
        <f t="shared" si="1"/>
        <v>1.4999999999999999E-2</v>
      </c>
      <c r="M11" s="8">
        <f t="shared" si="2"/>
        <v>900</v>
      </c>
      <c r="N11" s="3">
        <f t="shared" si="3"/>
        <v>375</v>
      </c>
      <c r="O11" s="54">
        <f t="shared" si="4"/>
        <v>525</v>
      </c>
      <c r="P11" s="47"/>
      <c r="R11" s="3">
        <f>+S10+1</f>
        <v>50001</v>
      </c>
      <c r="S11" s="3">
        <v>83333.33</v>
      </c>
      <c r="T11" s="11">
        <v>1.4999999999999999E-2</v>
      </c>
    </row>
    <row r="12" spans="1:20" x14ac:dyDescent="0.25">
      <c r="A12" s="39"/>
      <c r="B12" s="40" t="s">
        <v>17</v>
      </c>
      <c r="C12" s="27">
        <v>10000</v>
      </c>
      <c r="D12" s="3">
        <v>10000</v>
      </c>
      <c r="E12" s="3">
        <v>10000</v>
      </c>
      <c r="F12" s="54">
        <f t="shared" si="5"/>
        <v>30000</v>
      </c>
      <c r="G12" s="27">
        <v>10000</v>
      </c>
      <c r="H12" s="3">
        <v>10000</v>
      </c>
      <c r="I12" s="3">
        <v>10000</v>
      </c>
      <c r="J12" s="59">
        <f t="shared" si="0"/>
        <v>30000</v>
      </c>
      <c r="K12" s="53">
        <f t="shared" si="6"/>
        <v>60000</v>
      </c>
      <c r="L12" s="9">
        <f t="shared" si="1"/>
        <v>1.4999999999999999E-2</v>
      </c>
      <c r="M12" s="8">
        <f t="shared" si="2"/>
        <v>900</v>
      </c>
      <c r="N12" s="3">
        <f t="shared" si="3"/>
        <v>375</v>
      </c>
      <c r="O12" s="54">
        <f t="shared" si="4"/>
        <v>525</v>
      </c>
      <c r="P12" s="47"/>
      <c r="R12" s="3">
        <f>+S11+1</f>
        <v>83334.33</v>
      </c>
      <c r="S12" s="3">
        <v>208333.33</v>
      </c>
      <c r="T12" s="11">
        <v>0.02</v>
      </c>
    </row>
    <row r="13" spans="1:20" x14ac:dyDescent="0.25">
      <c r="A13" s="39"/>
      <c r="B13" s="40" t="s">
        <v>18</v>
      </c>
      <c r="C13" s="27">
        <v>10000</v>
      </c>
      <c r="D13" s="3">
        <v>10000</v>
      </c>
      <c r="E13" s="3">
        <v>10000</v>
      </c>
      <c r="F13" s="54">
        <f t="shared" si="5"/>
        <v>30000</v>
      </c>
      <c r="G13" s="27">
        <v>10000</v>
      </c>
      <c r="H13" s="3">
        <v>10000</v>
      </c>
      <c r="I13" s="3">
        <v>10000</v>
      </c>
      <c r="J13" s="59">
        <f t="shared" si="0"/>
        <v>30000</v>
      </c>
      <c r="K13" s="53">
        <f t="shared" si="6"/>
        <v>60000</v>
      </c>
      <c r="L13" s="9">
        <f t="shared" si="1"/>
        <v>1.4999999999999999E-2</v>
      </c>
      <c r="M13" s="8">
        <f t="shared" si="2"/>
        <v>900</v>
      </c>
      <c r="N13" s="3">
        <f t="shared" si="3"/>
        <v>375</v>
      </c>
      <c r="O13" s="54">
        <f t="shared" si="4"/>
        <v>525</v>
      </c>
      <c r="P13" s="47"/>
      <c r="R13" s="3">
        <f>+S12+1</f>
        <v>208334.33</v>
      </c>
      <c r="S13" s="3">
        <v>3500000</v>
      </c>
      <c r="T13" s="11">
        <v>2.5000000000000001E-2</v>
      </c>
    </row>
    <row r="14" spans="1:20" x14ac:dyDescent="0.25">
      <c r="A14" s="39"/>
      <c r="B14" s="40" t="s">
        <v>19</v>
      </c>
      <c r="C14" s="27">
        <v>10000</v>
      </c>
      <c r="D14" s="3">
        <v>10000</v>
      </c>
      <c r="E14" s="3">
        <v>10000</v>
      </c>
      <c r="F14" s="54">
        <f t="shared" si="5"/>
        <v>30000</v>
      </c>
      <c r="G14" s="27">
        <v>10000</v>
      </c>
      <c r="H14" s="3">
        <v>10000</v>
      </c>
      <c r="I14" s="3">
        <v>10000</v>
      </c>
      <c r="J14" s="59">
        <f t="shared" si="0"/>
        <v>30000</v>
      </c>
      <c r="K14" s="53">
        <f t="shared" si="6"/>
        <v>60000</v>
      </c>
      <c r="L14" s="9">
        <f t="shared" si="1"/>
        <v>1.4999999999999999E-2</v>
      </c>
      <c r="M14" s="8">
        <f t="shared" si="2"/>
        <v>900</v>
      </c>
      <c r="N14" s="3">
        <f t="shared" si="3"/>
        <v>375</v>
      </c>
      <c r="O14" s="54">
        <f t="shared" si="4"/>
        <v>525</v>
      </c>
      <c r="P14" s="47"/>
    </row>
    <row r="15" spans="1:20" x14ac:dyDescent="0.25">
      <c r="A15" s="39"/>
      <c r="B15" s="40" t="s">
        <v>20</v>
      </c>
      <c r="C15" s="27">
        <v>10000</v>
      </c>
      <c r="D15" s="3">
        <v>10000</v>
      </c>
      <c r="E15" s="3">
        <v>10000</v>
      </c>
      <c r="F15" s="54">
        <f t="shared" si="5"/>
        <v>30000</v>
      </c>
      <c r="G15" s="27">
        <v>10000</v>
      </c>
      <c r="H15" s="3">
        <v>10000</v>
      </c>
      <c r="I15" s="3">
        <v>10000</v>
      </c>
      <c r="J15" s="59">
        <f t="shared" si="0"/>
        <v>30000</v>
      </c>
      <c r="K15" s="53">
        <f t="shared" si="6"/>
        <v>60000</v>
      </c>
      <c r="L15" s="9">
        <f t="shared" si="1"/>
        <v>1.4999999999999999E-2</v>
      </c>
      <c r="M15" s="8">
        <f t="shared" si="2"/>
        <v>900</v>
      </c>
      <c r="N15" s="3">
        <f t="shared" si="3"/>
        <v>375</v>
      </c>
      <c r="O15" s="54">
        <f t="shared" si="4"/>
        <v>525</v>
      </c>
      <c r="P15" s="47"/>
    </row>
    <row r="16" spans="1:20" x14ac:dyDescent="0.25">
      <c r="A16" s="39"/>
      <c r="B16" s="40" t="s">
        <v>21</v>
      </c>
      <c r="C16" s="27">
        <v>10000</v>
      </c>
      <c r="D16" s="3">
        <v>10000</v>
      </c>
      <c r="E16" s="3">
        <v>10000</v>
      </c>
      <c r="F16" s="54">
        <f t="shared" si="5"/>
        <v>30000</v>
      </c>
      <c r="G16" s="27">
        <v>10000</v>
      </c>
      <c r="H16" s="3">
        <v>10000</v>
      </c>
      <c r="I16" s="3">
        <v>10000</v>
      </c>
      <c r="J16" s="59">
        <f t="shared" si="0"/>
        <v>30000</v>
      </c>
      <c r="K16" s="53">
        <f t="shared" si="6"/>
        <v>60000</v>
      </c>
      <c r="L16" s="9">
        <f t="shared" si="1"/>
        <v>1.4999999999999999E-2</v>
      </c>
      <c r="M16" s="8">
        <f t="shared" si="2"/>
        <v>900</v>
      </c>
      <c r="N16" s="3">
        <f t="shared" si="3"/>
        <v>375</v>
      </c>
      <c r="O16" s="54">
        <f t="shared" si="4"/>
        <v>525</v>
      </c>
      <c r="P16" s="47"/>
      <c r="R16" s="12"/>
      <c r="S16" s="12"/>
    </row>
    <row r="17" spans="1:20" ht="15.75" thickBot="1" x14ac:dyDescent="0.3">
      <c r="A17" s="39"/>
      <c r="B17" s="41" t="s">
        <v>22</v>
      </c>
      <c r="C17" s="34">
        <v>10000</v>
      </c>
      <c r="D17" s="35">
        <v>10000</v>
      </c>
      <c r="E17" s="35">
        <v>10000</v>
      </c>
      <c r="F17" s="60">
        <f t="shared" si="5"/>
        <v>30000</v>
      </c>
      <c r="G17" s="34">
        <v>10000</v>
      </c>
      <c r="H17" s="35">
        <v>10000</v>
      </c>
      <c r="I17" s="35">
        <v>10000</v>
      </c>
      <c r="J17" s="59">
        <f t="shared" si="0"/>
        <v>30000</v>
      </c>
      <c r="K17" s="53">
        <f t="shared" si="6"/>
        <v>60000</v>
      </c>
      <c r="L17" s="9">
        <f t="shared" si="1"/>
        <v>1.4999999999999999E-2</v>
      </c>
      <c r="M17" s="8">
        <f t="shared" si="2"/>
        <v>900</v>
      </c>
      <c r="N17" s="3">
        <f t="shared" si="3"/>
        <v>375</v>
      </c>
      <c r="O17" s="54">
        <f t="shared" si="4"/>
        <v>525</v>
      </c>
      <c r="P17" s="47"/>
    </row>
    <row r="18" spans="1:20" s="14" customFormat="1" ht="15.75" thickBot="1" x14ac:dyDescent="0.3">
      <c r="A18" s="42"/>
      <c r="B18" s="44" t="s">
        <v>23</v>
      </c>
      <c r="C18" s="78">
        <f t="shared" ref="C18:K18" si="7">SUM(C6:C17)</f>
        <v>120000</v>
      </c>
      <c r="D18" s="79">
        <f t="shared" si="7"/>
        <v>120000</v>
      </c>
      <c r="E18" s="79">
        <f t="shared" si="7"/>
        <v>120000</v>
      </c>
      <c r="F18" s="80">
        <f t="shared" si="7"/>
        <v>360000</v>
      </c>
      <c r="G18" s="81">
        <f t="shared" si="7"/>
        <v>120000</v>
      </c>
      <c r="H18" s="82">
        <f t="shared" si="7"/>
        <v>120000</v>
      </c>
      <c r="I18" s="82">
        <f t="shared" si="7"/>
        <v>120000</v>
      </c>
      <c r="J18" s="83">
        <f t="shared" si="7"/>
        <v>360000</v>
      </c>
      <c r="K18" s="55">
        <f t="shared" si="7"/>
        <v>720000</v>
      </c>
      <c r="L18" s="56"/>
      <c r="M18" s="57">
        <f>SUM(M6:M17)</f>
        <v>10800</v>
      </c>
      <c r="N18" s="57">
        <f>SUM(N6:N17)</f>
        <v>4500</v>
      </c>
      <c r="O18" s="58">
        <f>SUM(O6:O17)</f>
        <v>6300</v>
      </c>
      <c r="P18" s="48"/>
    </row>
    <row r="19" spans="1:20" x14ac:dyDescent="0.25">
      <c r="B19" s="4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1" spans="1:20" x14ac:dyDescent="0.25">
      <c r="B21" s="1"/>
      <c r="C21" s="204" t="s">
        <v>24</v>
      </c>
      <c r="D21" s="205"/>
      <c r="E21" s="205"/>
      <c r="F21" s="205"/>
      <c r="G21" s="205"/>
      <c r="H21" s="205"/>
      <c r="I21" s="205"/>
      <c r="J21" s="206"/>
      <c r="R21" s="10" t="s">
        <v>26</v>
      </c>
      <c r="S21" s="16"/>
      <c r="T21" s="16"/>
    </row>
    <row r="22" spans="1:20" x14ac:dyDescent="0.25">
      <c r="B22" s="1"/>
      <c r="C22" s="2" t="s">
        <v>27</v>
      </c>
      <c r="E22" s="3">
        <f>+K18</f>
        <v>720000</v>
      </c>
      <c r="H22" s="15" t="s">
        <v>25</v>
      </c>
      <c r="R22" s="3">
        <v>1</v>
      </c>
      <c r="S22" s="3">
        <v>300000</v>
      </c>
      <c r="T22" s="11">
        <v>0.01</v>
      </c>
    </row>
    <row r="23" spans="1:20" x14ac:dyDescent="0.25">
      <c r="B23" s="1" t="s">
        <v>2</v>
      </c>
      <c r="C23" s="2" t="s">
        <v>29</v>
      </c>
      <c r="E23" s="11">
        <f>+VLOOKUP(E22,T_ISR2022,3)</f>
        <v>1.4999999999999999E-2</v>
      </c>
      <c r="H23" s="2" t="s">
        <v>28</v>
      </c>
      <c r="J23" s="17">
        <f>+AVERAGE(L6:L17)</f>
        <v>1.5000000000000005E-2</v>
      </c>
      <c r="R23" s="3">
        <f>+S22+1</f>
        <v>300001</v>
      </c>
      <c r="S23" s="3">
        <v>600000</v>
      </c>
      <c r="T23" s="11">
        <v>1.0999999999999999E-2</v>
      </c>
    </row>
    <row r="24" spans="1:20" x14ac:dyDescent="0.25">
      <c r="B24" s="13" t="s">
        <v>1</v>
      </c>
      <c r="C24" s="14" t="s">
        <v>31</v>
      </c>
      <c r="D24" s="14"/>
      <c r="E24" s="8">
        <f>+E22*E23</f>
        <v>10800</v>
      </c>
      <c r="F24" s="14"/>
      <c r="G24" s="1" t="s">
        <v>3</v>
      </c>
      <c r="H24" s="2" t="s">
        <v>30</v>
      </c>
      <c r="J24" s="17">
        <f>+E23</f>
        <v>1.4999999999999999E-2</v>
      </c>
      <c r="R24" s="3">
        <f>+S23+1</f>
        <v>600001</v>
      </c>
      <c r="S24" s="3">
        <v>1000000</v>
      </c>
      <c r="T24" s="11">
        <v>1.4999999999999999E-2</v>
      </c>
    </row>
    <row r="25" spans="1:20" x14ac:dyDescent="0.25">
      <c r="B25" s="1" t="s">
        <v>3</v>
      </c>
      <c r="C25" s="2" t="s">
        <v>33</v>
      </c>
      <c r="E25" s="3">
        <f>+O18</f>
        <v>6300</v>
      </c>
      <c r="G25" s="13" t="s">
        <v>1</v>
      </c>
      <c r="H25" s="14" t="s">
        <v>32</v>
      </c>
      <c r="I25" s="14"/>
      <c r="J25" s="18">
        <f>+ABS(J23-J24)</f>
        <v>5.2041704279304213E-18</v>
      </c>
      <c r="R25" s="3">
        <f>+S24+1</f>
        <v>1000001</v>
      </c>
      <c r="S25" s="3">
        <v>2500000</v>
      </c>
      <c r="T25" s="11">
        <v>0.02</v>
      </c>
    </row>
    <row r="26" spans="1:20" x14ac:dyDescent="0.25">
      <c r="B26" s="1" t="s">
        <v>3</v>
      </c>
      <c r="C26" s="2" t="s">
        <v>34</v>
      </c>
      <c r="E26" s="3">
        <f>+N18</f>
        <v>4500</v>
      </c>
      <c r="R26" s="3">
        <f>+S25+1</f>
        <v>2500001</v>
      </c>
      <c r="S26" s="3">
        <v>3500000</v>
      </c>
      <c r="T26" s="11">
        <v>2.5000000000000001E-2</v>
      </c>
    </row>
    <row r="27" spans="1:20" x14ac:dyDescent="0.25">
      <c r="B27" s="13" t="s">
        <v>1</v>
      </c>
      <c r="C27" s="14" t="s">
        <v>35</v>
      </c>
      <c r="D27" s="14"/>
      <c r="E27" s="8">
        <f>+E24-E26-E25</f>
        <v>0</v>
      </c>
      <c r="F27" s="14"/>
      <c r="G27" s="14"/>
      <c r="H27" s="14"/>
      <c r="I27" s="14"/>
    </row>
    <row r="29" spans="1:20" ht="15.75" thickBot="1" x14ac:dyDescent="0.3">
      <c r="B29" s="63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</row>
    <row r="30" spans="1:20" ht="15.75" thickBot="1" x14ac:dyDescent="0.3">
      <c r="A30" s="39"/>
      <c r="B30" s="201" t="s">
        <v>36</v>
      </c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  <c r="O30" s="202"/>
      <c r="P30" s="203"/>
      <c r="Q30" s="47"/>
    </row>
    <row r="31" spans="1:20" x14ac:dyDescent="0.25">
      <c r="A31" s="39"/>
      <c r="B31" s="199" t="s">
        <v>77</v>
      </c>
      <c r="C31" s="193" t="s">
        <v>50</v>
      </c>
      <c r="D31" s="194"/>
      <c r="E31" s="194"/>
      <c r="F31" s="195"/>
      <c r="G31" s="196" t="s">
        <v>51</v>
      </c>
      <c r="H31" s="197"/>
      <c r="I31" s="197"/>
      <c r="J31" s="198"/>
      <c r="K31" s="49" t="s">
        <v>1</v>
      </c>
      <c r="L31" s="50" t="s">
        <v>2</v>
      </c>
      <c r="M31" s="51" t="s">
        <v>1</v>
      </c>
      <c r="N31" s="50" t="s">
        <v>3</v>
      </c>
      <c r="O31" s="50" t="s">
        <v>3</v>
      </c>
      <c r="P31" s="52" t="s">
        <v>1</v>
      </c>
      <c r="Q31" s="47"/>
    </row>
    <row r="32" spans="1:20" ht="45.75" thickBot="1" x14ac:dyDescent="0.3">
      <c r="A32" s="39"/>
      <c r="B32" s="200"/>
      <c r="C32" s="75" t="s">
        <v>47</v>
      </c>
      <c r="D32" s="76" t="s">
        <v>48</v>
      </c>
      <c r="E32" s="76" t="s">
        <v>49</v>
      </c>
      <c r="F32" s="77" t="s">
        <v>23</v>
      </c>
      <c r="G32" s="72" t="s">
        <v>47</v>
      </c>
      <c r="H32" s="73" t="s">
        <v>48</v>
      </c>
      <c r="I32" s="73" t="s">
        <v>49</v>
      </c>
      <c r="J32" s="74" t="s">
        <v>4</v>
      </c>
      <c r="K32" s="25" t="s">
        <v>37</v>
      </c>
      <c r="L32" s="7" t="s">
        <v>38</v>
      </c>
      <c r="M32" s="7" t="s">
        <v>39</v>
      </c>
      <c r="N32" s="7" t="s">
        <v>40</v>
      </c>
      <c r="O32" s="7" t="s">
        <v>41</v>
      </c>
      <c r="P32" s="26" t="s">
        <v>42</v>
      </c>
      <c r="Q32" s="47"/>
    </row>
    <row r="33" spans="1:17" x14ac:dyDescent="0.25">
      <c r="A33" s="39"/>
      <c r="B33" s="40" t="s">
        <v>10</v>
      </c>
      <c r="C33" s="27">
        <f>+C6</f>
        <v>10000</v>
      </c>
      <c r="D33" s="3">
        <f t="shared" ref="D33:I33" si="8">+D6</f>
        <v>10000</v>
      </c>
      <c r="E33" s="3">
        <f t="shared" si="8"/>
        <v>10000</v>
      </c>
      <c r="F33" s="33">
        <f>SUM(C33:E33)</f>
        <v>30000</v>
      </c>
      <c r="G33" s="27">
        <f t="shared" si="8"/>
        <v>10000</v>
      </c>
      <c r="H33" s="3">
        <f t="shared" si="8"/>
        <v>10000</v>
      </c>
      <c r="I33" s="3">
        <f t="shared" si="8"/>
        <v>10000</v>
      </c>
      <c r="J33" s="33">
        <f>SUM(G33:I33)</f>
        <v>30000</v>
      </c>
      <c r="K33" s="53">
        <f>+F33+J33</f>
        <v>60000</v>
      </c>
      <c r="L33" s="9">
        <v>0.16</v>
      </c>
      <c r="M33" s="8">
        <f t="shared" ref="M33:M44" si="9">+K33*L33</f>
        <v>9600</v>
      </c>
      <c r="N33" s="3">
        <f>+SUM(H33+I33)*0.16*0.666666666666667</f>
        <v>2133.3333333333344</v>
      </c>
      <c r="O33" s="19">
        <v>0</v>
      </c>
      <c r="P33" s="54">
        <f>+M33-N33-O33</f>
        <v>7466.6666666666661</v>
      </c>
      <c r="Q33" s="47"/>
    </row>
    <row r="34" spans="1:17" x14ac:dyDescent="0.25">
      <c r="A34" s="39"/>
      <c r="B34" s="40" t="s">
        <v>11</v>
      </c>
      <c r="C34" s="27">
        <f t="shared" ref="C34:I44" si="10">+C7</f>
        <v>10000</v>
      </c>
      <c r="D34" s="3">
        <f t="shared" si="10"/>
        <v>10000</v>
      </c>
      <c r="E34" s="3">
        <f t="shared" si="10"/>
        <v>10000</v>
      </c>
      <c r="F34" s="28">
        <f t="shared" ref="F34:F44" si="11">SUM(C34:E34)</f>
        <v>30000</v>
      </c>
      <c r="G34" s="27">
        <f t="shared" si="10"/>
        <v>10000</v>
      </c>
      <c r="H34" s="3">
        <f t="shared" si="10"/>
        <v>10000</v>
      </c>
      <c r="I34" s="3">
        <f t="shared" si="10"/>
        <v>10000</v>
      </c>
      <c r="J34" s="28">
        <f t="shared" ref="J34:J44" si="12">SUM(G34:I34)</f>
        <v>30000</v>
      </c>
      <c r="K34" s="53">
        <f t="shared" ref="K34:K44" si="13">+F34+J34</f>
        <v>60000</v>
      </c>
      <c r="L34" s="9">
        <v>0.16</v>
      </c>
      <c r="M34" s="8">
        <f t="shared" si="9"/>
        <v>9600</v>
      </c>
      <c r="N34" s="3">
        <f t="shared" ref="N34:N44" si="14">+SUM(H34+I34)*0.16*0.666666666666667</f>
        <v>2133.3333333333344</v>
      </c>
      <c r="O34" s="19">
        <v>0</v>
      </c>
      <c r="P34" s="54">
        <f t="shared" ref="P34:P44" si="15">+M34-N34-O34</f>
        <v>7466.6666666666661</v>
      </c>
      <c r="Q34" s="47"/>
    </row>
    <row r="35" spans="1:17" x14ac:dyDescent="0.25">
      <c r="A35" s="39"/>
      <c r="B35" s="40" t="s">
        <v>12</v>
      </c>
      <c r="C35" s="27">
        <f t="shared" si="10"/>
        <v>10000</v>
      </c>
      <c r="D35" s="3">
        <f t="shared" si="10"/>
        <v>10000</v>
      </c>
      <c r="E35" s="3">
        <f t="shared" si="10"/>
        <v>10000</v>
      </c>
      <c r="F35" s="28">
        <f t="shared" si="11"/>
        <v>30000</v>
      </c>
      <c r="G35" s="27">
        <f t="shared" si="10"/>
        <v>10000</v>
      </c>
      <c r="H35" s="3">
        <f t="shared" si="10"/>
        <v>10000</v>
      </c>
      <c r="I35" s="3">
        <f t="shared" si="10"/>
        <v>10000</v>
      </c>
      <c r="J35" s="28">
        <f t="shared" si="12"/>
        <v>30000</v>
      </c>
      <c r="K35" s="53">
        <f t="shared" si="13"/>
        <v>60000</v>
      </c>
      <c r="L35" s="9">
        <v>0.16</v>
      </c>
      <c r="M35" s="8">
        <f t="shared" si="9"/>
        <v>9600</v>
      </c>
      <c r="N35" s="3">
        <f t="shared" si="14"/>
        <v>2133.3333333333344</v>
      </c>
      <c r="O35" s="19">
        <v>0</v>
      </c>
      <c r="P35" s="54">
        <f t="shared" si="15"/>
        <v>7466.6666666666661</v>
      </c>
      <c r="Q35" s="47"/>
    </row>
    <row r="36" spans="1:17" x14ac:dyDescent="0.25">
      <c r="A36" s="39"/>
      <c r="B36" s="40" t="s">
        <v>14</v>
      </c>
      <c r="C36" s="27">
        <f t="shared" si="10"/>
        <v>10000</v>
      </c>
      <c r="D36" s="3">
        <f t="shared" si="10"/>
        <v>10000</v>
      </c>
      <c r="E36" s="3">
        <f t="shared" si="10"/>
        <v>10000</v>
      </c>
      <c r="F36" s="28">
        <f t="shared" si="11"/>
        <v>30000</v>
      </c>
      <c r="G36" s="27">
        <f t="shared" si="10"/>
        <v>10000</v>
      </c>
      <c r="H36" s="3">
        <f t="shared" si="10"/>
        <v>10000</v>
      </c>
      <c r="I36" s="3">
        <f t="shared" si="10"/>
        <v>10000</v>
      </c>
      <c r="J36" s="28">
        <f t="shared" si="12"/>
        <v>30000</v>
      </c>
      <c r="K36" s="53">
        <f t="shared" si="13"/>
        <v>60000</v>
      </c>
      <c r="L36" s="9">
        <v>0.16</v>
      </c>
      <c r="M36" s="8">
        <f t="shared" si="9"/>
        <v>9600</v>
      </c>
      <c r="N36" s="3">
        <f t="shared" si="14"/>
        <v>2133.3333333333344</v>
      </c>
      <c r="O36" s="19">
        <v>0</v>
      </c>
      <c r="P36" s="54">
        <f t="shared" si="15"/>
        <v>7466.6666666666661</v>
      </c>
      <c r="Q36" s="47"/>
    </row>
    <row r="37" spans="1:17" x14ac:dyDescent="0.25">
      <c r="A37" s="39"/>
      <c r="B37" s="40" t="s">
        <v>15</v>
      </c>
      <c r="C37" s="27">
        <f t="shared" si="10"/>
        <v>10000</v>
      </c>
      <c r="D37" s="3">
        <f t="shared" si="10"/>
        <v>10000</v>
      </c>
      <c r="E37" s="3">
        <f t="shared" si="10"/>
        <v>10000</v>
      </c>
      <c r="F37" s="28">
        <f t="shared" si="11"/>
        <v>30000</v>
      </c>
      <c r="G37" s="27">
        <f t="shared" si="10"/>
        <v>10000</v>
      </c>
      <c r="H37" s="3">
        <f t="shared" si="10"/>
        <v>10000</v>
      </c>
      <c r="I37" s="3">
        <f t="shared" si="10"/>
        <v>10000</v>
      </c>
      <c r="J37" s="28">
        <f t="shared" si="12"/>
        <v>30000</v>
      </c>
      <c r="K37" s="53">
        <f t="shared" si="13"/>
        <v>60000</v>
      </c>
      <c r="L37" s="9">
        <v>0.16</v>
      </c>
      <c r="M37" s="8">
        <f t="shared" si="9"/>
        <v>9600</v>
      </c>
      <c r="N37" s="3">
        <f t="shared" si="14"/>
        <v>2133.3333333333344</v>
      </c>
      <c r="O37" s="19">
        <v>0</v>
      </c>
      <c r="P37" s="54">
        <f t="shared" si="15"/>
        <v>7466.6666666666661</v>
      </c>
      <c r="Q37" s="47"/>
    </row>
    <row r="38" spans="1:17" x14ac:dyDescent="0.25">
      <c r="A38" s="39"/>
      <c r="B38" s="40" t="s">
        <v>16</v>
      </c>
      <c r="C38" s="27">
        <f t="shared" si="10"/>
        <v>10000</v>
      </c>
      <c r="D38" s="3">
        <f t="shared" si="10"/>
        <v>10000</v>
      </c>
      <c r="E38" s="3">
        <f t="shared" si="10"/>
        <v>10000</v>
      </c>
      <c r="F38" s="28">
        <f t="shared" si="11"/>
        <v>30000</v>
      </c>
      <c r="G38" s="27">
        <f t="shared" si="10"/>
        <v>10000</v>
      </c>
      <c r="H38" s="3">
        <f t="shared" si="10"/>
        <v>10000</v>
      </c>
      <c r="I38" s="3">
        <f t="shared" si="10"/>
        <v>10000</v>
      </c>
      <c r="J38" s="28">
        <f t="shared" si="12"/>
        <v>30000</v>
      </c>
      <c r="K38" s="53">
        <f t="shared" si="13"/>
        <v>60000</v>
      </c>
      <c r="L38" s="9">
        <v>0.16</v>
      </c>
      <c r="M38" s="8">
        <f t="shared" si="9"/>
        <v>9600</v>
      </c>
      <c r="N38" s="3">
        <f t="shared" si="14"/>
        <v>2133.3333333333344</v>
      </c>
      <c r="O38" s="19">
        <v>0</v>
      </c>
      <c r="P38" s="54">
        <f t="shared" si="15"/>
        <v>7466.6666666666661</v>
      </c>
      <c r="Q38" s="47"/>
    </row>
    <row r="39" spans="1:17" x14ac:dyDescent="0.25">
      <c r="A39" s="39"/>
      <c r="B39" s="40" t="s">
        <v>17</v>
      </c>
      <c r="C39" s="27">
        <f t="shared" si="10"/>
        <v>10000</v>
      </c>
      <c r="D39" s="3">
        <f t="shared" si="10"/>
        <v>10000</v>
      </c>
      <c r="E39" s="3">
        <f t="shared" si="10"/>
        <v>10000</v>
      </c>
      <c r="F39" s="28">
        <f t="shared" si="11"/>
        <v>30000</v>
      </c>
      <c r="G39" s="27">
        <f t="shared" si="10"/>
        <v>10000</v>
      </c>
      <c r="H39" s="3">
        <f t="shared" si="10"/>
        <v>10000</v>
      </c>
      <c r="I39" s="3">
        <f t="shared" si="10"/>
        <v>10000</v>
      </c>
      <c r="J39" s="28">
        <f t="shared" si="12"/>
        <v>30000</v>
      </c>
      <c r="K39" s="53">
        <f t="shared" si="13"/>
        <v>60000</v>
      </c>
      <c r="L39" s="9">
        <v>0.16</v>
      </c>
      <c r="M39" s="8">
        <f t="shared" si="9"/>
        <v>9600</v>
      </c>
      <c r="N39" s="3">
        <f t="shared" si="14"/>
        <v>2133.3333333333344</v>
      </c>
      <c r="O39" s="19">
        <v>0</v>
      </c>
      <c r="P39" s="54">
        <f t="shared" si="15"/>
        <v>7466.6666666666661</v>
      </c>
      <c r="Q39" s="47"/>
    </row>
    <row r="40" spans="1:17" x14ac:dyDescent="0.25">
      <c r="A40" s="39"/>
      <c r="B40" s="40" t="s">
        <v>18</v>
      </c>
      <c r="C40" s="27">
        <f t="shared" si="10"/>
        <v>10000</v>
      </c>
      <c r="D40" s="3">
        <f t="shared" si="10"/>
        <v>10000</v>
      </c>
      <c r="E40" s="3">
        <f t="shared" si="10"/>
        <v>10000</v>
      </c>
      <c r="F40" s="28">
        <f t="shared" si="11"/>
        <v>30000</v>
      </c>
      <c r="G40" s="27">
        <f t="shared" si="10"/>
        <v>10000</v>
      </c>
      <c r="H40" s="3">
        <f t="shared" si="10"/>
        <v>10000</v>
      </c>
      <c r="I40" s="3">
        <f t="shared" si="10"/>
        <v>10000</v>
      </c>
      <c r="J40" s="28">
        <f t="shared" si="12"/>
        <v>30000</v>
      </c>
      <c r="K40" s="53">
        <f t="shared" si="13"/>
        <v>60000</v>
      </c>
      <c r="L40" s="9">
        <v>0.16</v>
      </c>
      <c r="M40" s="8">
        <f t="shared" si="9"/>
        <v>9600</v>
      </c>
      <c r="N40" s="3">
        <f t="shared" si="14"/>
        <v>2133.3333333333344</v>
      </c>
      <c r="O40" s="19">
        <v>0</v>
      </c>
      <c r="P40" s="54">
        <f t="shared" si="15"/>
        <v>7466.6666666666661</v>
      </c>
      <c r="Q40" s="47"/>
    </row>
    <row r="41" spans="1:17" x14ac:dyDescent="0.25">
      <c r="A41" s="39"/>
      <c r="B41" s="40" t="s">
        <v>19</v>
      </c>
      <c r="C41" s="27">
        <f t="shared" si="10"/>
        <v>10000</v>
      </c>
      <c r="D41" s="3">
        <f t="shared" si="10"/>
        <v>10000</v>
      </c>
      <c r="E41" s="3">
        <f t="shared" si="10"/>
        <v>10000</v>
      </c>
      <c r="F41" s="28">
        <f t="shared" si="11"/>
        <v>30000</v>
      </c>
      <c r="G41" s="27">
        <f t="shared" si="10"/>
        <v>10000</v>
      </c>
      <c r="H41" s="3">
        <f t="shared" si="10"/>
        <v>10000</v>
      </c>
      <c r="I41" s="3">
        <f t="shared" si="10"/>
        <v>10000</v>
      </c>
      <c r="J41" s="28">
        <f t="shared" si="12"/>
        <v>30000</v>
      </c>
      <c r="K41" s="53">
        <f t="shared" si="13"/>
        <v>60000</v>
      </c>
      <c r="L41" s="9">
        <v>0.16</v>
      </c>
      <c r="M41" s="8">
        <f t="shared" si="9"/>
        <v>9600</v>
      </c>
      <c r="N41" s="3">
        <f t="shared" si="14"/>
        <v>2133.3333333333344</v>
      </c>
      <c r="O41" s="19">
        <v>0</v>
      </c>
      <c r="P41" s="54">
        <f t="shared" si="15"/>
        <v>7466.6666666666661</v>
      </c>
      <c r="Q41" s="47"/>
    </row>
    <row r="42" spans="1:17" x14ac:dyDescent="0.25">
      <c r="A42" s="39"/>
      <c r="B42" s="40" t="s">
        <v>20</v>
      </c>
      <c r="C42" s="27">
        <f t="shared" si="10"/>
        <v>10000</v>
      </c>
      <c r="D42" s="3">
        <f t="shared" si="10"/>
        <v>10000</v>
      </c>
      <c r="E42" s="3">
        <f t="shared" si="10"/>
        <v>10000</v>
      </c>
      <c r="F42" s="28">
        <f t="shared" si="11"/>
        <v>30000</v>
      </c>
      <c r="G42" s="27">
        <f t="shared" si="10"/>
        <v>10000</v>
      </c>
      <c r="H42" s="3">
        <f t="shared" si="10"/>
        <v>10000</v>
      </c>
      <c r="I42" s="3">
        <f t="shared" si="10"/>
        <v>10000</v>
      </c>
      <c r="J42" s="28">
        <f t="shared" si="12"/>
        <v>30000</v>
      </c>
      <c r="K42" s="53">
        <f t="shared" si="13"/>
        <v>60000</v>
      </c>
      <c r="L42" s="9">
        <v>0.16</v>
      </c>
      <c r="M42" s="8">
        <f t="shared" si="9"/>
        <v>9600</v>
      </c>
      <c r="N42" s="3">
        <f t="shared" si="14"/>
        <v>2133.3333333333344</v>
      </c>
      <c r="O42" s="19">
        <v>0</v>
      </c>
      <c r="P42" s="54">
        <f t="shared" si="15"/>
        <v>7466.6666666666661</v>
      </c>
      <c r="Q42" s="47"/>
    </row>
    <row r="43" spans="1:17" x14ac:dyDescent="0.25">
      <c r="A43" s="39"/>
      <c r="B43" s="40" t="s">
        <v>21</v>
      </c>
      <c r="C43" s="27">
        <f t="shared" si="10"/>
        <v>10000</v>
      </c>
      <c r="D43" s="3">
        <f t="shared" si="10"/>
        <v>10000</v>
      </c>
      <c r="E43" s="3">
        <f t="shared" si="10"/>
        <v>10000</v>
      </c>
      <c r="F43" s="28">
        <f t="shared" si="11"/>
        <v>30000</v>
      </c>
      <c r="G43" s="27">
        <f t="shared" si="10"/>
        <v>10000</v>
      </c>
      <c r="H43" s="3">
        <f t="shared" si="10"/>
        <v>10000</v>
      </c>
      <c r="I43" s="3">
        <f t="shared" si="10"/>
        <v>10000</v>
      </c>
      <c r="J43" s="28">
        <f t="shared" si="12"/>
        <v>30000</v>
      </c>
      <c r="K43" s="53">
        <f t="shared" si="13"/>
        <v>60000</v>
      </c>
      <c r="L43" s="9">
        <v>0.16</v>
      </c>
      <c r="M43" s="8">
        <f t="shared" si="9"/>
        <v>9600</v>
      </c>
      <c r="N43" s="3">
        <f t="shared" si="14"/>
        <v>2133.3333333333344</v>
      </c>
      <c r="O43" s="19">
        <v>0</v>
      </c>
      <c r="P43" s="54">
        <f t="shared" si="15"/>
        <v>7466.6666666666661</v>
      </c>
      <c r="Q43" s="47"/>
    </row>
    <row r="44" spans="1:17" ht="15.75" thickBot="1" x14ac:dyDescent="0.3">
      <c r="A44" s="39"/>
      <c r="B44" s="40" t="s">
        <v>22</v>
      </c>
      <c r="C44" s="27">
        <f t="shared" si="10"/>
        <v>10000</v>
      </c>
      <c r="D44" s="3">
        <f t="shared" si="10"/>
        <v>10000</v>
      </c>
      <c r="E44" s="3">
        <f t="shared" si="10"/>
        <v>10000</v>
      </c>
      <c r="F44" s="36">
        <f t="shared" si="11"/>
        <v>30000</v>
      </c>
      <c r="G44" s="27">
        <f t="shared" si="10"/>
        <v>10000</v>
      </c>
      <c r="H44" s="3">
        <f t="shared" si="10"/>
        <v>10000</v>
      </c>
      <c r="I44" s="3">
        <f t="shared" si="10"/>
        <v>10000</v>
      </c>
      <c r="J44" s="36">
        <f t="shared" si="12"/>
        <v>30000</v>
      </c>
      <c r="K44" s="53">
        <f t="shared" si="13"/>
        <v>60000</v>
      </c>
      <c r="L44" s="9">
        <v>0.16</v>
      </c>
      <c r="M44" s="8">
        <f t="shared" si="9"/>
        <v>9600</v>
      </c>
      <c r="N44" s="3">
        <f t="shared" si="14"/>
        <v>2133.3333333333344</v>
      </c>
      <c r="O44" s="19">
        <v>0</v>
      </c>
      <c r="P44" s="54">
        <f t="shared" si="15"/>
        <v>7466.6666666666661</v>
      </c>
      <c r="Q44" s="47"/>
    </row>
    <row r="45" spans="1:17" ht="15.75" thickBot="1" x14ac:dyDescent="0.3">
      <c r="A45" s="39"/>
      <c r="B45" s="41" t="s">
        <v>23</v>
      </c>
      <c r="C45" s="78">
        <f t="shared" ref="C45:K45" si="16">SUM(C33:C44)</f>
        <v>120000</v>
      </c>
      <c r="D45" s="79">
        <f t="shared" si="16"/>
        <v>120000</v>
      </c>
      <c r="E45" s="79">
        <f t="shared" si="16"/>
        <v>120000</v>
      </c>
      <c r="F45" s="80">
        <f t="shared" si="16"/>
        <v>360000</v>
      </c>
      <c r="G45" s="81">
        <f t="shared" si="16"/>
        <v>120000</v>
      </c>
      <c r="H45" s="82">
        <f t="shared" si="16"/>
        <v>120000</v>
      </c>
      <c r="I45" s="82">
        <f t="shared" si="16"/>
        <v>120000</v>
      </c>
      <c r="J45" s="83">
        <f t="shared" si="16"/>
        <v>360000</v>
      </c>
      <c r="K45" s="55">
        <f t="shared" si="16"/>
        <v>720000</v>
      </c>
      <c r="L45" s="56"/>
      <c r="M45" s="57">
        <f>SUM(M33:M44)</f>
        <v>115200</v>
      </c>
      <c r="N45" s="57">
        <f>SUM(N33:N44)</f>
        <v>25600.000000000018</v>
      </c>
      <c r="O45" s="57">
        <f>SUM(O33:O44)</f>
        <v>0</v>
      </c>
      <c r="P45" s="58">
        <f>SUM(P33:P44)</f>
        <v>89600</v>
      </c>
      <c r="Q45" s="47"/>
    </row>
    <row r="46" spans="1:17" x14ac:dyDescent="0.25">
      <c r="B46" s="4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</row>
    <row r="47" spans="1:17" ht="15.75" thickBot="1" x14ac:dyDescent="0.3">
      <c r="B47" s="64"/>
      <c r="C47" s="62"/>
      <c r="D47" s="62"/>
      <c r="E47" s="62"/>
      <c r="F47" s="5"/>
      <c r="G47" s="5"/>
      <c r="H47" s="5"/>
      <c r="I47" s="5"/>
    </row>
    <row r="48" spans="1:17" x14ac:dyDescent="0.25">
      <c r="A48" s="39"/>
      <c r="B48" s="65" t="s">
        <v>43</v>
      </c>
      <c r="C48" s="66" t="s">
        <v>44</v>
      </c>
      <c r="D48" s="66" t="s">
        <v>45</v>
      </c>
      <c r="E48" s="67" t="s">
        <v>46</v>
      </c>
      <c r="F48" s="21"/>
      <c r="G48" s="7"/>
      <c r="H48" s="7"/>
      <c r="I48" s="7"/>
    </row>
    <row r="49" spans="1:9" x14ac:dyDescent="0.25">
      <c r="A49" s="39"/>
      <c r="B49" s="68" t="s">
        <v>10</v>
      </c>
      <c r="C49" s="3">
        <f t="shared" ref="C49:C60" si="17">+O6</f>
        <v>525</v>
      </c>
      <c r="D49" s="3">
        <f t="shared" ref="D49:D60" si="18">+P33</f>
        <v>7466.6666666666661</v>
      </c>
      <c r="E49" s="54">
        <f t="shared" ref="E49:E60" si="19">SUM(C49:D49)</f>
        <v>7991.6666666666661</v>
      </c>
      <c r="F49" s="22"/>
      <c r="G49" s="3"/>
      <c r="H49" s="3"/>
      <c r="I49" s="3"/>
    </row>
    <row r="50" spans="1:9" x14ac:dyDescent="0.25">
      <c r="A50" s="39"/>
      <c r="B50" s="68" t="s">
        <v>11</v>
      </c>
      <c r="C50" s="3">
        <f t="shared" si="17"/>
        <v>525</v>
      </c>
      <c r="D50" s="3">
        <f t="shared" si="18"/>
        <v>7466.6666666666661</v>
      </c>
      <c r="E50" s="54">
        <f t="shared" si="19"/>
        <v>7991.6666666666661</v>
      </c>
      <c r="F50" s="22"/>
      <c r="G50" s="3"/>
      <c r="H50" s="3"/>
      <c r="I50" s="3"/>
    </row>
    <row r="51" spans="1:9" x14ac:dyDescent="0.25">
      <c r="A51" s="39"/>
      <c r="B51" s="68" t="s">
        <v>12</v>
      </c>
      <c r="C51" s="3">
        <f t="shared" si="17"/>
        <v>525</v>
      </c>
      <c r="D51" s="3">
        <f t="shared" si="18"/>
        <v>7466.6666666666661</v>
      </c>
      <c r="E51" s="54">
        <f t="shared" si="19"/>
        <v>7991.6666666666661</v>
      </c>
      <c r="F51" s="22"/>
      <c r="G51" s="3"/>
      <c r="H51" s="3"/>
      <c r="I51" s="3"/>
    </row>
    <row r="52" spans="1:9" x14ac:dyDescent="0.25">
      <c r="A52" s="39"/>
      <c r="B52" s="68" t="s">
        <v>14</v>
      </c>
      <c r="C52" s="3">
        <f t="shared" si="17"/>
        <v>525</v>
      </c>
      <c r="D52" s="3">
        <f t="shared" si="18"/>
        <v>7466.6666666666661</v>
      </c>
      <c r="E52" s="54">
        <f t="shared" si="19"/>
        <v>7991.6666666666661</v>
      </c>
      <c r="F52" s="22"/>
      <c r="G52" s="3"/>
      <c r="H52" s="3"/>
      <c r="I52" s="3"/>
    </row>
    <row r="53" spans="1:9" x14ac:dyDescent="0.25">
      <c r="A53" s="39"/>
      <c r="B53" s="68" t="s">
        <v>15</v>
      </c>
      <c r="C53" s="3">
        <f t="shared" si="17"/>
        <v>525</v>
      </c>
      <c r="D53" s="3">
        <f t="shared" si="18"/>
        <v>7466.6666666666661</v>
      </c>
      <c r="E53" s="54">
        <f t="shared" si="19"/>
        <v>7991.6666666666661</v>
      </c>
      <c r="F53" s="22"/>
      <c r="G53" s="3"/>
      <c r="H53" s="3"/>
      <c r="I53" s="3"/>
    </row>
    <row r="54" spans="1:9" x14ac:dyDescent="0.25">
      <c r="A54" s="39"/>
      <c r="B54" s="68" t="s">
        <v>16</v>
      </c>
      <c r="C54" s="3">
        <f t="shared" si="17"/>
        <v>525</v>
      </c>
      <c r="D54" s="3">
        <f t="shared" si="18"/>
        <v>7466.6666666666661</v>
      </c>
      <c r="E54" s="54">
        <f t="shared" si="19"/>
        <v>7991.6666666666661</v>
      </c>
      <c r="F54" s="22"/>
      <c r="G54" s="3"/>
      <c r="H54" s="3"/>
      <c r="I54" s="3"/>
    </row>
    <row r="55" spans="1:9" x14ac:dyDescent="0.25">
      <c r="A55" s="39"/>
      <c r="B55" s="68" t="s">
        <v>17</v>
      </c>
      <c r="C55" s="3">
        <f t="shared" si="17"/>
        <v>525</v>
      </c>
      <c r="D55" s="3">
        <f t="shared" si="18"/>
        <v>7466.6666666666661</v>
      </c>
      <c r="E55" s="54">
        <f t="shared" si="19"/>
        <v>7991.6666666666661</v>
      </c>
      <c r="F55" s="22"/>
      <c r="G55" s="3"/>
      <c r="H55" s="3"/>
      <c r="I55" s="3"/>
    </row>
    <row r="56" spans="1:9" x14ac:dyDescent="0.25">
      <c r="A56" s="39"/>
      <c r="B56" s="68" t="s">
        <v>18</v>
      </c>
      <c r="C56" s="3">
        <f t="shared" si="17"/>
        <v>525</v>
      </c>
      <c r="D56" s="3">
        <f t="shared" si="18"/>
        <v>7466.6666666666661</v>
      </c>
      <c r="E56" s="54">
        <f t="shared" si="19"/>
        <v>7991.6666666666661</v>
      </c>
      <c r="F56" s="22"/>
      <c r="G56" s="3"/>
      <c r="H56" s="3"/>
      <c r="I56" s="3"/>
    </row>
    <row r="57" spans="1:9" x14ac:dyDescent="0.25">
      <c r="A57" s="39"/>
      <c r="B57" s="68" t="s">
        <v>19</v>
      </c>
      <c r="C57" s="3">
        <f t="shared" si="17"/>
        <v>525</v>
      </c>
      <c r="D57" s="3">
        <f t="shared" si="18"/>
        <v>7466.6666666666661</v>
      </c>
      <c r="E57" s="54">
        <f t="shared" si="19"/>
        <v>7991.6666666666661</v>
      </c>
      <c r="F57" s="22"/>
      <c r="G57" s="3"/>
      <c r="H57" s="3"/>
      <c r="I57" s="3"/>
    </row>
    <row r="58" spans="1:9" x14ac:dyDescent="0.25">
      <c r="A58" s="39"/>
      <c r="B58" s="68" t="s">
        <v>20</v>
      </c>
      <c r="C58" s="3">
        <f t="shared" si="17"/>
        <v>525</v>
      </c>
      <c r="D58" s="3">
        <f t="shared" si="18"/>
        <v>7466.6666666666661</v>
      </c>
      <c r="E58" s="54">
        <f t="shared" si="19"/>
        <v>7991.6666666666661</v>
      </c>
      <c r="F58" s="22"/>
      <c r="G58" s="3"/>
      <c r="H58" s="3"/>
      <c r="I58" s="3"/>
    </row>
    <row r="59" spans="1:9" x14ac:dyDescent="0.25">
      <c r="A59" s="39"/>
      <c r="B59" s="68" t="s">
        <v>21</v>
      </c>
      <c r="C59" s="3">
        <f t="shared" si="17"/>
        <v>525</v>
      </c>
      <c r="D59" s="3">
        <f t="shared" si="18"/>
        <v>7466.6666666666661</v>
      </c>
      <c r="E59" s="54">
        <f t="shared" si="19"/>
        <v>7991.6666666666661</v>
      </c>
      <c r="F59" s="22"/>
      <c r="G59" s="3"/>
      <c r="H59" s="3"/>
      <c r="I59" s="3"/>
    </row>
    <row r="60" spans="1:9" x14ac:dyDescent="0.25">
      <c r="A60" s="39"/>
      <c r="B60" s="68" t="s">
        <v>22</v>
      </c>
      <c r="C60" s="3">
        <f t="shared" si="17"/>
        <v>525</v>
      </c>
      <c r="D60" s="3">
        <f t="shared" si="18"/>
        <v>7466.6666666666661</v>
      </c>
      <c r="E60" s="54">
        <f t="shared" si="19"/>
        <v>7991.6666666666661</v>
      </c>
      <c r="F60" s="22"/>
      <c r="G60" s="3"/>
      <c r="H60" s="3"/>
      <c r="I60" s="3"/>
    </row>
    <row r="61" spans="1:9" ht="15.75" thickBot="1" x14ac:dyDescent="0.3">
      <c r="A61" s="39"/>
      <c r="B61" s="69" t="s">
        <v>23</v>
      </c>
      <c r="C61" s="29">
        <f>SUM(C49:C60)</f>
        <v>6300</v>
      </c>
      <c r="D61" s="29">
        <f t="shared" ref="D61:E61" si="20">SUM(D49:D60)</f>
        <v>89600</v>
      </c>
      <c r="E61" s="30">
        <f t="shared" si="20"/>
        <v>95900</v>
      </c>
      <c r="F61" s="23"/>
      <c r="G61" s="8"/>
      <c r="H61" s="8"/>
      <c r="I61" s="8"/>
    </row>
    <row r="62" spans="1:9" x14ac:dyDescent="0.25">
      <c r="B62" s="43"/>
      <c r="C62" s="24"/>
      <c r="D62" s="24"/>
      <c r="E62" s="24"/>
    </row>
    <row r="63" spans="1:9" x14ac:dyDescent="0.25">
      <c r="C63" s="20"/>
      <c r="D63" s="20"/>
      <c r="E63" s="20"/>
      <c r="F63" s="20"/>
      <c r="G63" s="20"/>
      <c r="H63" s="20"/>
      <c r="I63" s="20"/>
    </row>
    <row r="64" spans="1:9" x14ac:dyDescent="0.25">
      <c r="C64" s="11"/>
    </row>
  </sheetData>
  <mergeCells count="9">
    <mergeCell ref="C31:F31"/>
    <mergeCell ref="G31:J31"/>
    <mergeCell ref="B31:B32"/>
    <mergeCell ref="B3:O3"/>
    <mergeCell ref="C21:J21"/>
    <mergeCell ref="C4:F4"/>
    <mergeCell ref="G4:J4"/>
    <mergeCell ref="B4:B5"/>
    <mergeCell ref="B30:P30"/>
  </mergeCells>
  <conditionalFormatting sqref="L6:L17">
    <cfRule type="containsText" dxfId="18" priority="5" operator="containsText" text="0.025">
      <formula>NOT(ISERROR(SEARCH("0.025",L6)))</formula>
    </cfRule>
    <cfRule type="cellIs" dxfId="17" priority="6" operator="equal">
      <formula>0.02</formula>
    </cfRule>
    <cfRule type="containsText" dxfId="16" priority="7" operator="containsText" text="0.011">
      <formula>NOT(ISERROR(SEARCH("0.011",L6)))</formula>
    </cfRule>
    <cfRule type="cellIs" dxfId="15" priority="8" operator="equal">
      <formula>0.01</formula>
    </cfRule>
  </conditionalFormatting>
  <conditionalFormatting sqref="L33:L44">
    <cfRule type="containsText" dxfId="14" priority="1" operator="containsText" text="0.025">
      <formula>NOT(ISERROR(SEARCH("0.025",L33)))</formula>
    </cfRule>
    <cfRule type="cellIs" dxfId="13" priority="2" operator="equal">
      <formula>0.02</formula>
    </cfRule>
    <cfRule type="containsText" dxfId="12" priority="3" operator="containsText" text="0.011">
      <formula>NOT(ISERROR(SEARCH("0.011",L33)))</formula>
    </cfRule>
    <cfRule type="cellIs" dxfId="11" priority="4" operator="equal">
      <formula>0.01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4"/>
  <sheetViews>
    <sheetView showGridLines="0" tabSelected="1" workbookViewId="0">
      <selection activeCell="B18" sqref="B18"/>
    </sheetView>
  </sheetViews>
  <sheetFormatPr baseColWidth="10" defaultRowHeight="15" x14ac:dyDescent="0.25"/>
  <cols>
    <col min="1" max="1" width="7.5703125" style="101" bestFit="1" customWidth="1"/>
    <col min="2" max="2" width="54.140625" style="102" bestFit="1" customWidth="1"/>
    <col min="3" max="3" width="12.140625" style="109" bestFit="1" customWidth="1"/>
    <col min="4" max="4" width="11.42578125" style="102"/>
    <col min="5" max="10" width="11.7109375" style="102" bestFit="1" customWidth="1"/>
    <col min="11" max="11" width="11.85546875" style="102" bestFit="1" customWidth="1"/>
    <col min="12" max="12" width="12.28515625" style="102" bestFit="1" customWidth="1"/>
    <col min="13" max="14" width="11.7109375" style="102" bestFit="1" customWidth="1"/>
    <col min="15" max="15" width="3.42578125" style="102" customWidth="1"/>
    <col min="16" max="16" width="54.42578125" style="102" bestFit="1" customWidth="1"/>
    <col min="17" max="17" width="14.28515625" style="102" customWidth="1"/>
    <col min="18" max="16384" width="11.42578125" style="102"/>
  </cols>
  <sheetData>
    <row r="1" spans="1:18" x14ac:dyDescent="0.25">
      <c r="B1" s="97" t="s">
        <v>87</v>
      </c>
    </row>
    <row r="2" spans="1:18" x14ac:dyDescent="0.25">
      <c r="B2" s="102" t="s">
        <v>108</v>
      </c>
    </row>
    <row r="3" spans="1:18" ht="15.75" thickBot="1" x14ac:dyDescent="0.3">
      <c r="B3" s="95"/>
    </row>
    <row r="4" spans="1:18" s="107" customFormat="1" ht="30" customHeight="1" x14ac:dyDescent="0.25">
      <c r="A4" s="103"/>
      <c r="B4" s="104" t="s">
        <v>109</v>
      </c>
      <c r="C4" s="105" t="s">
        <v>10</v>
      </c>
      <c r="D4" s="104" t="s">
        <v>11</v>
      </c>
      <c r="E4" s="104" t="s">
        <v>12</v>
      </c>
      <c r="F4" s="104" t="s">
        <v>14</v>
      </c>
      <c r="G4" s="104" t="s">
        <v>15</v>
      </c>
      <c r="H4" s="104" t="s">
        <v>16</v>
      </c>
      <c r="I4" s="104" t="s">
        <v>17</v>
      </c>
      <c r="J4" s="104" t="s">
        <v>18</v>
      </c>
      <c r="K4" s="106" t="s">
        <v>19</v>
      </c>
      <c r="L4" s="104" t="s">
        <v>20</v>
      </c>
      <c r="M4" s="104" t="s">
        <v>21</v>
      </c>
      <c r="N4" s="104" t="s">
        <v>22</v>
      </c>
      <c r="P4" s="209" t="s">
        <v>70</v>
      </c>
      <c r="Q4" s="209"/>
    </row>
    <row r="5" spans="1:18" x14ac:dyDescent="0.25">
      <c r="B5" s="102" t="s">
        <v>110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2" t="s">
        <v>72</v>
      </c>
      <c r="Q5" s="109">
        <f>SUM(C5:N5)</f>
        <v>0</v>
      </c>
    </row>
    <row r="6" spans="1:18" x14ac:dyDescent="0.25">
      <c r="D6" s="109"/>
      <c r="E6" s="109"/>
      <c r="F6" s="109"/>
      <c r="G6" s="109"/>
      <c r="H6" s="109"/>
      <c r="I6" s="109"/>
      <c r="J6" s="109"/>
      <c r="K6" s="110"/>
      <c r="L6" s="109"/>
      <c r="M6" s="109"/>
      <c r="N6" s="109"/>
      <c r="O6" s="109"/>
      <c r="Q6" s="109"/>
    </row>
    <row r="7" spans="1:18" x14ac:dyDescent="0.25">
      <c r="D7" s="109"/>
      <c r="E7" s="109"/>
      <c r="F7" s="109"/>
      <c r="G7" s="109"/>
      <c r="H7" s="109"/>
      <c r="I7" s="109"/>
      <c r="J7" s="109"/>
      <c r="K7" s="110"/>
      <c r="L7" s="109"/>
      <c r="M7" s="109"/>
      <c r="N7" s="109"/>
      <c r="O7" s="109"/>
      <c r="Q7" s="109"/>
    </row>
    <row r="8" spans="1:18" x14ac:dyDescent="0.25">
      <c r="B8" s="115" t="s">
        <v>110</v>
      </c>
      <c r="C8" s="116">
        <f>SUM(C5:C7)</f>
        <v>0</v>
      </c>
      <c r="D8" s="116">
        <f t="shared" ref="D8:N8" si="0">SUM(D5:D7)</f>
        <v>0</v>
      </c>
      <c r="E8" s="116">
        <f t="shared" si="0"/>
        <v>0</v>
      </c>
      <c r="F8" s="116">
        <f t="shared" si="0"/>
        <v>0</v>
      </c>
      <c r="G8" s="116">
        <f t="shared" si="0"/>
        <v>0</v>
      </c>
      <c r="H8" s="116">
        <f t="shared" si="0"/>
        <v>0</v>
      </c>
      <c r="I8" s="116">
        <f t="shared" si="0"/>
        <v>0</v>
      </c>
      <c r="J8" s="116">
        <f t="shared" si="0"/>
        <v>0</v>
      </c>
      <c r="K8" s="116">
        <f t="shared" si="0"/>
        <v>0</v>
      </c>
      <c r="L8" s="116">
        <f t="shared" si="0"/>
        <v>0</v>
      </c>
      <c r="M8" s="116">
        <f t="shared" si="0"/>
        <v>0</v>
      </c>
      <c r="N8" s="116">
        <f t="shared" si="0"/>
        <v>0</v>
      </c>
      <c r="O8" s="109"/>
      <c r="P8" s="115" t="s">
        <v>71</v>
      </c>
      <c r="Q8" s="116">
        <f>SUM(Q5:Q7)</f>
        <v>0</v>
      </c>
    </row>
    <row r="9" spans="1:18" x14ac:dyDescent="0.25">
      <c r="D9" s="109"/>
      <c r="E9" s="109"/>
      <c r="F9" s="109"/>
      <c r="G9" s="109"/>
      <c r="H9" s="109"/>
      <c r="I9" s="109"/>
      <c r="J9" s="109"/>
      <c r="K9" s="110"/>
      <c r="L9" s="109"/>
      <c r="M9" s="109"/>
      <c r="N9" s="109"/>
      <c r="O9" s="109"/>
      <c r="Q9" s="109"/>
    </row>
    <row r="10" spans="1:18" x14ac:dyDescent="0.25">
      <c r="D10" s="109"/>
      <c r="E10" s="109"/>
      <c r="F10" s="109"/>
      <c r="G10" s="109"/>
      <c r="H10" s="109"/>
      <c r="I10" s="109"/>
      <c r="J10" s="109"/>
      <c r="K10" s="110"/>
      <c r="L10" s="109"/>
      <c r="M10" s="109"/>
      <c r="N10" s="109"/>
      <c r="O10" s="109"/>
      <c r="Q10" s="109"/>
    </row>
    <row r="11" spans="1:18" x14ac:dyDescent="0.25">
      <c r="A11" s="101" t="s">
        <v>1</v>
      </c>
      <c r="B11" s="115" t="s">
        <v>73</v>
      </c>
      <c r="C11" s="116">
        <f>+C8</f>
        <v>0</v>
      </c>
      <c r="D11" s="116">
        <f>+D8</f>
        <v>0</v>
      </c>
      <c r="E11" s="116">
        <f t="shared" ref="E11:N11" si="1">+E8</f>
        <v>0</v>
      </c>
      <c r="F11" s="116">
        <f t="shared" si="1"/>
        <v>0</v>
      </c>
      <c r="G11" s="116">
        <f t="shared" si="1"/>
        <v>0</v>
      </c>
      <c r="H11" s="116">
        <f t="shared" si="1"/>
        <v>0</v>
      </c>
      <c r="I11" s="116">
        <f t="shared" si="1"/>
        <v>0</v>
      </c>
      <c r="J11" s="116">
        <f t="shared" si="1"/>
        <v>0</v>
      </c>
      <c r="K11" s="116">
        <f t="shared" si="1"/>
        <v>0</v>
      </c>
      <c r="L11" s="116">
        <f t="shared" si="1"/>
        <v>0</v>
      </c>
      <c r="M11" s="116">
        <f t="shared" si="1"/>
        <v>0</v>
      </c>
      <c r="N11" s="116">
        <f t="shared" si="1"/>
        <v>0</v>
      </c>
      <c r="O11" s="109"/>
      <c r="P11" s="115" t="s">
        <v>73</v>
      </c>
      <c r="Q11" s="116">
        <f>+Q8</f>
        <v>0</v>
      </c>
    </row>
    <row r="12" spans="1:18" x14ac:dyDescent="0.25">
      <c r="C12" s="111"/>
      <c r="D12" s="111"/>
      <c r="E12" s="111"/>
      <c r="F12" s="111"/>
      <c r="G12" s="111"/>
      <c r="H12" s="111"/>
      <c r="I12" s="111"/>
      <c r="J12" s="111"/>
      <c r="K12" s="112"/>
      <c r="L12" s="111"/>
      <c r="M12" s="111"/>
      <c r="N12" s="111"/>
      <c r="O12" s="111"/>
      <c r="Q12" s="111"/>
    </row>
    <row r="13" spans="1:18" s="184" customFormat="1" x14ac:dyDescent="0.25">
      <c r="A13" s="183" t="s">
        <v>2</v>
      </c>
      <c r="B13" s="184" t="s">
        <v>57</v>
      </c>
      <c r="C13" s="185" t="e">
        <f>+VLOOKUP(C11,t_isrm2022,3)</f>
        <v>#N/A</v>
      </c>
      <c r="D13" s="185" t="e">
        <f>+VLOOKUP(D11,t_isrm2022,3)</f>
        <v>#N/A</v>
      </c>
      <c r="E13" s="185" t="e">
        <f t="shared" ref="E13:N13" si="2">+VLOOKUP(E11,t_isrm2022,3)</f>
        <v>#N/A</v>
      </c>
      <c r="F13" s="185" t="e">
        <f t="shared" si="2"/>
        <v>#N/A</v>
      </c>
      <c r="G13" s="185" t="e">
        <f t="shared" si="2"/>
        <v>#N/A</v>
      </c>
      <c r="H13" s="185" t="e">
        <f t="shared" si="2"/>
        <v>#N/A</v>
      </c>
      <c r="I13" s="185" t="e">
        <f t="shared" si="2"/>
        <v>#N/A</v>
      </c>
      <c r="J13" s="185" t="e">
        <f t="shared" si="2"/>
        <v>#N/A</v>
      </c>
      <c r="K13" s="185" t="e">
        <f t="shared" si="2"/>
        <v>#N/A</v>
      </c>
      <c r="L13" s="185" t="e">
        <f t="shared" si="2"/>
        <v>#N/A</v>
      </c>
      <c r="M13" s="185" t="e">
        <f t="shared" si="2"/>
        <v>#N/A</v>
      </c>
      <c r="N13" s="185" t="e">
        <f t="shared" si="2"/>
        <v>#N/A</v>
      </c>
      <c r="O13" s="186"/>
      <c r="P13" s="184" t="s">
        <v>57</v>
      </c>
      <c r="Q13" s="187" t="e">
        <f>+VLOOKUP(Q11,T_ISR2022,3)</f>
        <v>#N/A</v>
      </c>
    </row>
    <row r="14" spans="1:18" s="189" customFormat="1" x14ac:dyDescent="0.25">
      <c r="A14" s="188" t="s">
        <v>1</v>
      </c>
      <c r="B14" s="189" t="s">
        <v>58</v>
      </c>
      <c r="C14" s="190" t="e">
        <f>+C11*C13</f>
        <v>#N/A</v>
      </c>
      <c r="D14" s="190" t="e">
        <f>+D11*D13</f>
        <v>#N/A</v>
      </c>
      <c r="E14" s="190" t="e">
        <f t="shared" ref="E14:Q14" si="3">+E11*E13</f>
        <v>#N/A</v>
      </c>
      <c r="F14" s="190" t="e">
        <f t="shared" si="3"/>
        <v>#N/A</v>
      </c>
      <c r="G14" s="190" t="e">
        <f t="shared" si="3"/>
        <v>#N/A</v>
      </c>
      <c r="H14" s="190" t="e">
        <f t="shared" si="3"/>
        <v>#N/A</v>
      </c>
      <c r="I14" s="190" t="e">
        <f t="shared" si="3"/>
        <v>#N/A</v>
      </c>
      <c r="J14" s="190" t="e">
        <f t="shared" si="3"/>
        <v>#N/A</v>
      </c>
      <c r="K14" s="190" t="e">
        <f t="shared" si="3"/>
        <v>#N/A</v>
      </c>
      <c r="L14" s="190" t="e">
        <f t="shared" si="3"/>
        <v>#N/A</v>
      </c>
      <c r="M14" s="190" t="e">
        <f t="shared" si="3"/>
        <v>#N/A</v>
      </c>
      <c r="N14" s="190" t="e">
        <f t="shared" si="3"/>
        <v>#N/A</v>
      </c>
      <c r="O14" s="190"/>
      <c r="P14" s="189" t="s">
        <v>58</v>
      </c>
      <c r="Q14" s="190" t="e">
        <f t="shared" si="3"/>
        <v>#N/A</v>
      </c>
    </row>
    <row r="15" spans="1:18" s="184" customFormat="1" x14ac:dyDescent="0.25">
      <c r="A15" s="183" t="s">
        <v>3</v>
      </c>
      <c r="B15" s="184" t="s">
        <v>74</v>
      </c>
      <c r="C15" s="190">
        <f>+C5*1.25%</f>
        <v>0</v>
      </c>
      <c r="D15" s="190">
        <f>+D5*1.25%</f>
        <v>0</v>
      </c>
      <c r="E15" s="190">
        <f t="shared" ref="E15:N15" si="4">+E5*1.25%</f>
        <v>0</v>
      </c>
      <c r="F15" s="190">
        <f t="shared" si="4"/>
        <v>0</v>
      </c>
      <c r="G15" s="190">
        <f t="shared" si="4"/>
        <v>0</v>
      </c>
      <c r="H15" s="190">
        <f t="shared" si="4"/>
        <v>0</v>
      </c>
      <c r="I15" s="190">
        <f t="shared" si="4"/>
        <v>0</v>
      </c>
      <c r="J15" s="190">
        <f t="shared" si="4"/>
        <v>0</v>
      </c>
      <c r="K15" s="190">
        <f t="shared" si="4"/>
        <v>0</v>
      </c>
      <c r="L15" s="190">
        <f t="shared" si="4"/>
        <v>0</v>
      </c>
      <c r="M15" s="190">
        <f t="shared" si="4"/>
        <v>0</v>
      </c>
      <c r="N15" s="190">
        <f t="shared" si="4"/>
        <v>0</v>
      </c>
      <c r="O15" s="190"/>
      <c r="P15" s="184" t="s">
        <v>74</v>
      </c>
      <c r="Q15" s="190">
        <f>SUM(C15:N15)</f>
        <v>0</v>
      </c>
      <c r="R15" s="207" t="e">
        <f>+Q15+Q16</f>
        <v>#N/A</v>
      </c>
    </row>
    <row r="16" spans="1:18" s="189" customFormat="1" x14ac:dyDescent="0.25">
      <c r="A16" s="188" t="s">
        <v>1</v>
      </c>
      <c r="B16" s="189" t="s">
        <v>9</v>
      </c>
      <c r="C16" s="191" t="e">
        <f t="shared" ref="C16:N16" si="5">+IF(C14&gt;C15,C14-C15,0)</f>
        <v>#N/A</v>
      </c>
      <c r="D16" s="191" t="e">
        <f t="shared" si="5"/>
        <v>#N/A</v>
      </c>
      <c r="E16" s="191" t="e">
        <f t="shared" si="5"/>
        <v>#N/A</v>
      </c>
      <c r="F16" s="191" t="e">
        <f t="shared" si="5"/>
        <v>#N/A</v>
      </c>
      <c r="G16" s="191" t="e">
        <f t="shared" si="5"/>
        <v>#N/A</v>
      </c>
      <c r="H16" s="191" t="e">
        <f t="shared" si="5"/>
        <v>#N/A</v>
      </c>
      <c r="I16" s="191" t="e">
        <f t="shared" si="5"/>
        <v>#N/A</v>
      </c>
      <c r="J16" s="191" t="e">
        <f t="shared" si="5"/>
        <v>#N/A</v>
      </c>
      <c r="K16" s="191" t="e">
        <f t="shared" si="5"/>
        <v>#N/A</v>
      </c>
      <c r="L16" s="191" t="e">
        <f t="shared" si="5"/>
        <v>#N/A</v>
      </c>
      <c r="M16" s="191" t="e">
        <f t="shared" si="5"/>
        <v>#N/A</v>
      </c>
      <c r="N16" s="191" t="e">
        <f t="shared" si="5"/>
        <v>#N/A</v>
      </c>
      <c r="O16" s="191"/>
      <c r="P16" s="123" t="s">
        <v>75</v>
      </c>
      <c r="Q16" s="190" t="e">
        <f>SUM(C16:N16)</f>
        <v>#N/A</v>
      </c>
      <c r="R16" s="208"/>
    </row>
    <row r="17" spans="2:17" x14ac:dyDescent="0.25"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17" t="s">
        <v>9</v>
      </c>
      <c r="Q17" s="118" t="e">
        <f>+Q14-Q15-Q16</f>
        <v>#N/A</v>
      </c>
    </row>
    <row r="18" spans="2:17" x14ac:dyDescent="0.25"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</row>
    <row r="19" spans="2:17" x14ac:dyDescent="0.25">
      <c r="D19" s="182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</row>
    <row r="20" spans="2:17" x14ac:dyDescent="0.25">
      <c r="B20" s="192" t="s">
        <v>111</v>
      </c>
      <c r="D20" s="182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</row>
    <row r="21" spans="2:17" x14ac:dyDescent="0.25">
      <c r="D21" s="182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</row>
    <row r="22" spans="2:17" x14ac:dyDescent="0.25">
      <c r="B22" s="95"/>
      <c r="D22" s="182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</row>
    <row r="23" spans="2:17" x14ac:dyDescent="0.25">
      <c r="B23" s="114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</row>
    <row r="24" spans="2:17" x14ac:dyDescent="0.25">
      <c r="H24" s="181"/>
      <c r="P24" s="109"/>
    </row>
  </sheetData>
  <mergeCells count="2">
    <mergeCell ref="R15:R16"/>
    <mergeCell ref="P4:Q4"/>
  </mergeCells>
  <conditionalFormatting sqref="C13:N13">
    <cfRule type="containsText" dxfId="10" priority="1" operator="containsText" text="0.025">
      <formula>NOT(ISERROR(SEARCH("0.025",C13)))</formula>
    </cfRule>
    <cfRule type="cellIs" dxfId="9" priority="2" operator="equal">
      <formula>0.02</formula>
    </cfRule>
    <cfRule type="containsText" dxfId="8" priority="3" operator="containsText" text="0.011">
      <formula>NOT(ISERROR(SEARCH("0.011",C13)))</formula>
    </cfRule>
    <cfRule type="cellIs" dxfId="7" priority="4" operator="equal">
      <formula>0.01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1D5CA-E90E-4695-8BE0-BA908272BFD2}">
  <dimension ref="A1:Q48"/>
  <sheetViews>
    <sheetView workbookViewId="0">
      <selection activeCell="F22" sqref="F22"/>
    </sheetView>
  </sheetViews>
  <sheetFormatPr baseColWidth="10" defaultColWidth="11.42578125" defaultRowHeight="12.75" zeroHeight="1" x14ac:dyDescent="0.2"/>
  <cols>
    <col min="1" max="1" width="11.42578125" style="154"/>
    <col min="2" max="2" width="27.42578125" style="154" customWidth="1"/>
    <col min="3" max="3" width="13.5703125" style="154" customWidth="1"/>
    <col min="4" max="14" width="14.7109375" style="154" customWidth="1"/>
    <col min="15" max="15" width="0.5703125" style="154" customWidth="1"/>
    <col min="16" max="16384" width="11.42578125" style="154"/>
  </cols>
  <sheetData>
    <row r="1" spans="1:17" ht="15.75" x14ac:dyDescent="0.25">
      <c r="A1" s="153"/>
      <c r="B1" s="153"/>
      <c r="I1" s="155"/>
    </row>
    <row r="2" spans="1:17" ht="15" x14ac:dyDescent="0.2">
      <c r="A2" s="156" t="s">
        <v>90</v>
      </c>
      <c r="B2" s="156"/>
      <c r="H2" s="157"/>
      <c r="J2" s="158"/>
    </row>
    <row r="3" spans="1:17" x14ac:dyDescent="0.2">
      <c r="A3" s="154" t="s">
        <v>91</v>
      </c>
      <c r="E3" s="157"/>
      <c r="M3" s="158"/>
      <c r="N3" s="158"/>
    </row>
    <row r="4" spans="1:17" x14ac:dyDescent="0.2">
      <c r="A4" s="154" t="s">
        <v>92</v>
      </c>
    </row>
    <row r="5" spans="1:17" x14ac:dyDescent="0.2">
      <c r="A5" s="154" t="s">
        <v>107</v>
      </c>
      <c r="G5" s="154">
        <f>+F8/2</f>
        <v>0</v>
      </c>
      <c r="L5" s="154">
        <v>26900</v>
      </c>
      <c r="M5" s="158"/>
    </row>
    <row r="6" spans="1:17" x14ac:dyDescent="0.2">
      <c r="B6" s="159"/>
    </row>
    <row r="7" spans="1:17" s="161" customFormat="1" ht="18.75" customHeight="1" x14ac:dyDescent="0.25">
      <c r="A7" s="160" t="s">
        <v>93</v>
      </c>
      <c r="B7" s="160" t="s">
        <v>94</v>
      </c>
      <c r="C7" s="160" t="s">
        <v>10</v>
      </c>
      <c r="D7" s="160" t="s">
        <v>11</v>
      </c>
      <c r="E7" s="160" t="s">
        <v>12</v>
      </c>
      <c r="F7" s="160" t="s">
        <v>14</v>
      </c>
      <c r="G7" s="160" t="s">
        <v>15</v>
      </c>
      <c r="H7" s="160" t="s">
        <v>16</v>
      </c>
      <c r="I7" s="160" t="s">
        <v>17</v>
      </c>
      <c r="J7" s="160" t="s">
        <v>18</v>
      </c>
      <c r="K7" s="160" t="s">
        <v>19</v>
      </c>
      <c r="L7" s="160" t="s">
        <v>20</v>
      </c>
      <c r="M7" s="160" t="s">
        <v>21</v>
      </c>
      <c r="N7" s="160" t="s">
        <v>22</v>
      </c>
    </row>
    <row r="8" spans="1:17" s="161" customFormat="1" ht="18.75" customHeight="1" x14ac:dyDescent="0.25">
      <c r="A8" s="162" t="s">
        <v>95</v>
      </c>
      <c r="B8" s="162" t="s">
        <v>96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</row>
    <row r="9" spans="1:17" s="161" customFormat="1" ht="18.75" customHeight="1" x14ac:dyDescent="0.25">
      <c r="A9" s="162" t="s">
        <v>97</v>
      </c>
      <c r="B9" s="162" t="s">
        <v>98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</row>
    <row r="10" spans="1:17" s="161" customFormat="1" ht="18.75" customHeight="1" x14ac:dyDescent="0.25">
      <c r="A10" s="162" t="s">
        <v>99</v>
      </c>
      <c r="B10" s="162" t="s">
        <v>34</v>
      </c>
      <c r="C10" s="163">
        <v>0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</row>
    <row r="11" spans="1:17" s="161" customFormat="1" ht="18.75" customHeight="1" x14ac:dyDescent="0.25">
      <c r="A11" s="164"/>
      <c r="B11" s="164" t="s">
        <v>100</v>
      </c>
      <c r="C11" s="165">
        <f>IF(C8&gt;(C9+C10),(C8-C9-C10),0)</f>
        <v>0</v>
      </c>
      <c r="D11" s="165">
        <f t="shared" ref="D11:N11" si="0">IF(D8&gt;(D9+D10),(D8-D9-D10),0)</f>
        <v>0</v>
      </c>
      <c r="E11" s="165">
        <f t="shared" si="0"/>
        <v>0</v>
      </c>
      <c r="F11" s="165">
        <f t="shared" si="0"/>
        <v>0</v>
      </c>
      <c r="G11" s="165">
        <f t="shared" si="0"/>
        <v>0</v>
      </c>
      <c r="H11" s="165">
        <f t="shared" si="0"/>
        <v>0</v>
      </c>
      <c r="I11" s="165">
        <f t="shared" si="0"/>
        <v>0</v>
      </c>
      <c r="J11" s="165">
        <f t="shared" si="0"/>
        <v>0</v>
      </c>
      <c r="K11" s="165">
        <f t="shared" si="0"/>
        <v>0</v>
      </c>
      <c r="L11" s="165">
        <f>IF(L8&gt;(L9+L10),(L8-L9-L10),0)</f>
        <v>0</v>
      </c>
      <c r="M11" s="165">
        <f t="shared" si="0"/>
        <v>0</v>
      </c>
      <c r="N11" s="165">
        <f t="shared" si="0"/>
        <v>0</v>
      </c>
      <c r="Q11" s="166"/>
    </row>
    <row r="12" spans="1:17" s="161" customFormat="1" ht="18.75" customHeight="1" x14ac:dyDescent="0.2">
      <c r="A12" s="167" t="s">
        <v>101</v>
      </c>
      <c r="B12" s="162" t="s">
        <v>102</v>
      </c>
      <c r="C12" s="168"/>
      <c r="D12" s="169"/>
      <c r="E12" s="169"/>
      <c r="F12" s="169"/>
      <c r="G12" s="169"/>
      <c r="H12" s="169"/>
      <c r="I12" s="169"/>
      <c r="J12" s="169"/>
      <c r="K12" s="169"/>
      <c r="L12" s="170"/>
      <c r="M12" s="169"/>
      <c r="N12" s="169"/>
    </row>
    <row r="13" spans="1:17" s="161" customFormat="1" ht="18.75" customHeight="1" x14ac:dyDescent="0.25">
      <c r="A13" s="167"/>
      <c r="B13" s="162" t="s">
        <v>103</v>
      </c>
      <c r="C13" s="168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</row>
    <row r="14" spans="1:17" s="161" customFormat="1" ht="18.75" customHeight="1" x14ac:dyDescent="0.25">
      <c r="A14" s="167" t="s">
        <v>104</v>
      </c>
      <c r="B14" s="164" t="s">
        <v>105</v>
      </c>
      <c r="C14" s="165">
        <f>C11-C12</f>
        <v>0</v>
      </c>
      <c r="D14" s="165">
        <f>D11-D12</f>
        <v>0</v>
      </c>
      <c r="E14" s="165">
        <f>E11-E12</f>
        <v>0</v>
      </c>
      <c r="F14" s="165">
        <f>F11-F12+F13</f>
        <v>0</v>
      </c>
      <c r="G14" s="165">
        <f t="shared" ref="G14:N14" si="1">G11-G12+G13</f>
        <v>0</v>
      </c>
      <c r="H14" s="165">
        <f t="shared" si="1"/>
        <v>0</v>
      </c>
      <c r="I14" s="165">
        <f t="shared" si="1"/>
        <v>0</v>
      </c>
      <c r="J14" s="165">
        <f t="shared" si="1"/>
        <v>0</v>
      </c>
      <c r="K14" s="165">
        <f t="shared" si="1"/>
        <v>0</v>
      </c>
      <c r="L14" s="165">
        <f t="shared" si="1"/>
        <v>0</v>
      </c>
      <c r="M14" s="165">
        <f t="shared" si="1"/>
        <v>0</v>
      </c>
      <c r="N14" s="165">
        <f t="shared" si="1"/>
        <v>0</v>
      </c>
    </row>
    <row r="15" spans="1:17" ht="3.75" customHeight="1" x14ac:dyDescent="0.2">
      <c r="B15" s="171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</row>
    <row r="16" spans="1:17" s="161" customFormat="1" ht="18.75" customHeight="1" x14ac:dyDescent="0.25">
      <c r="A16" s="167" t="s">
        <v>101</v>
      </c>
      <c r="B16" s="164" t="s">
        <v>106</v>
      </c>
      <c r="C16" s="165">
        <f>IF(C8&lt;(C9+C10),((C9+C10)-C8),0)</f>
        <v>0</v>
      </c>
      <c r="D16" s="165">
        <f>IF(D8&lt;(D9+D10),((D9+D10)-D8),0)</f>
        <v>0</v>
      </c>
      <c r="E16" s="165">
        <f t="shared" ref="E16:N16" si="2">IF(E8&lt;(E9+E10),((E9+E10)-E8),0)</f>
        <v>0</v>
      </c>
      <c r="F16" s="165">
        <f t="shared" si="2"/>
        <v>0</v>
      </c>
      <c r="G16" s="165">
        <f t="shared" si="2"/>
        <v>0</v>
      </c>
      <c r="H16" s="165">
        <f t="shared" si="2"/>
        <v>0</v>
      </c>
      <c r="I16" s="165">
        <f t="shared" si="2"/>
        <v>0</v>
      </c>
      <c r="J16" s="165">
        <f t="shared" si="2"/>
        <v>0</v>
      </c>
      <c r="K16" s="165">
        <f t="shared" si="2"/>
        <v>0</v>
      </c>
      <c r="L16" s="165">
        <f t="shared" si="2"/>
        <v>0</v>
      </c>
      <c r="M16" s="165">
        <f t="shared" si="2"/>
        <v>0</v>
      </c>
      <c r="N16" s="165">
        <f t="shared" si="2"/>
        <v>0</v>
      </c>
    </row>
    <row r="17" spans="2:14" x14ac:dyDescent="0.2">
      <c r="B17" s="171"/>
      <c r="C17" s="171"/>
      <c r="D17" s="171"/>
      <c r="E17" s="171"/>
      <c r="F17" s="171"/>
      <c r="G17" s="173"/>
      <c r="H17" s="171"/>
      <c r="I17" s="171"/>
      <c r="J17" s="171"/>
      <c r="K17" s="171"/>
      <c r="L17" s="171"/>
      <c r="M17" s="171"/>
      <c r="N17" s="171"/>
    </row>
    <row r="18" spans="2:14" ht="15" x14ac:dyDescent="0.25">
      <c r="B18" s="171"/>
      <c r="C18" s="171"/>
      <c r="D18" s="171"/>
      <c r="E18" s="174"/>
      <c r="F18" s="171"/>
      <c r="G18" s="173"/>
      <c r="H18" s="171"/>
      <c r="I18" s="171"/>
      <c r="J18" s="171"/>
      <c r="K18" s="171"/>
      <c r="L18" s="175"/>
      <c r="M18" s="175"/>
      <c r="N18" s="175"/>
    </row>
    <row r="19" spans="2:14" ht="12.75" customHeight="1" x14ac:dyDescent="0.25">
      <c r="B19" s="171"/>
      <c r="C19" s="171"/>
      <c r="D19" s="173"/>
      <c r="E19"/>
      <c r="F19" s="171"/>
      <c r="G19" s="173"/>
      <c r="H19" s="171"/>
      <c r="I19" s="171"/>
      <c r="J19" s="171"/>
      <c r="K19" s="171"/>
      <c r="L19" s="175"/>
      <c r="M19" s="175"/>
      <c r="N19" s="175"/>
    </row>
    <row r="20" spans="2:14" ht="12.75" customHeight="1" x14ac:dyDescent="0.25">
      <c r="B20" s="171" t="s">
        <v>112</v>
      </c>
      <c r="C20" s="171"/>
      <c r="D20" s="173"/>
      <c r="E20" s="174"/>
      <c r="F20" s="171"/>
      <c r="G20" s="173"/>
      <c r="H20" s="173"/>
      <c r="I20" s="171"/>
      <c r="J20" s="171"/>
      <c r="K20" s="171"/>
      <c r="L20" s="175"/>
      <c r="M20" s="175"/>
      <c r="N20" s="175"/>
    </row>
    <row r="21" spans="2:14" ht="12.75" customHeight="1" x14ac:dyDescent="0.25">
      <c r="B21" s="171"/>
      <c r="C21" s="171"/>
      <c r="D21" s="173"/>
      <c r="E21" s="174"/>
      <c r="F21" s="171"/>
      <c r="G21" s="173"/>
      <c r="H21" s="173"/>
      <c r="I21" s="171"/>
      <c r="J21" s="171"/>
      <c r="K21" s="171"/>
      <c r="L21" s="175"/>
      <c r="M21" s="175"/>
      <c r="N21" s="175"/>
    </row>
    <row r="22" spans="2:14" ht="12.75" customHeight="1" x14ac:dyDescent="0.25">
      <c r="B22" s="171"/>
      <c r="C22" s="171"/>
      <c r="D22" s="173"/>
      <c r="E22"/>
      <c r="F22" s="171"/>
      <c r="G22" s="171"/>
      <c r="H22" s="173"/>
      <c r="I22" s="171"/>
      <c r="J22" s="176"/>
      <c r="K22" s="171"/>
      <c r="L22" s="175"/>
      <c r="M22" s="175"/>
      <c r="N22" s="175"/>
    </row>
    <row r="23" spans="2:14" ht="12.75" customHeight="1" x14ac:dyDescent="0.2">
      <c r="D23" s="177"/>
      <c r="E23" s="178"/>
      <c r="H23" s="157"/>
    </row>
    <row r="24" spans="2:14" ht="12.75" customHeight="1" x14ac:dyDescent="0.25">
      <c r="E24" s="174"/>
      <c r="G24" s="177"/>
    </row>
    <row r="25" spans="2:14" ht="12.75" customHeight="1" x14ac:dyDescent="0.25">
      <c r="E25"/>
      <c r="K25" s="171"/>
      <c r="L25" s="179"/>
      <c r="M25" s="179"/>
      <c r="N25" s="179"/>
    </row>
    <row r="26" spans="2:14" ht="12.75" customHeight="1" x14ac:dyDescent="0.25">
      <c r="E26"/>
      <c r="G26" s="177"/>
      <c r="K26" s="171"/>
      <c r="L26" s="175"/>
      <c r="M26" s="175"/>
      <c r="N26" s="175"/>
    </row>
    <row r="27" spans="2:14" ht="12.75" customHeight="1" x14ac:dyDescent="0.2">
      <c r="D27" s="157"/>
      <c r="K27" s="171"/>
      <c r="L27" s="175"/>
      <c r="M27" s="175"/>
      <c r="N27" s="175"/>
    </row>
    <row r="28" spans="2:14" ht="12.75" customHeight="1" x14ac:dyDescent="0.2">
      <c r="K28" s="171"/>
      <c r="L28" s="175"/>
      <c r="M28" s="175"/>
      <c r="N28" s="175"/>
    </row>
    <row r="29" spans="2:14" ht="12.75" customHeight="1" x14ac:dyDescent="0.2">
      <c r="K29" s="171"/>
      <c r="L29" s="175"/>
      <c r="M29" s="175"/>
      <c r="N29" s="175"/>
    </row>
    <row r="30" spans="2:14" ht="12.75" customHeight="1" x14ac:dyDescent="0.2">
      <c r="K30" s="171"/>
      <c r="L30" s="175"/>
      <c r="M30" s="175"/>
      <c r="N30" s="175"/>
    </row>
    <row r="31" spans="2:14" ht="12.75" customHeight="1" x14ac:dyDescent="0.2"/>
    <row r="32" spans="2:14" ht="12.75" customHeight="1" x14ac:dyDescent="0.2">
      <c r="M32" s="180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59"/>
  <sheetViews>
    <sheetView showGridLines="0" workbookViewId="0">
      <selection activeCell="E11" sqref="E11"/>
    </sheetView>
  </sheetViews>
  <sheetFormatPr baseColWidth="10" defaultRowHeight="15" x14ac:dyDescent="0.25"/>
  <cols>
    <col min="1" max="1" width="11.42578125" style="16"/>
    <col min="2" max="2" width="12.28515625" style="127" customWidth="1"/>
    <col min="3" max="3" width="12.5703125" style="16" bestFit="1" customWidth="1"/>
    <col min="4" max="4" width="12.5703125" style="16" customWidth="1"/>
    <col min="5" max="5" width="12.5703125" style="16" bestFit="1" customWidth="1"/>
    <col min="6" max="7" width="12.5703125" style="16" customWidth="1"/>
    <col min="8" max="9" width="11.5703125" style="16" bestFit="1" customWidth="1"/>
    <col min="10" max="10" width="13.85546875" style="16" bestFit="1" customWidth="1"/>
    <col min="11" max="11" width="13.85546875" style="16" customWidth="1"/>
    <col min="12" max="12" width="11.5703125" style="16" bestFit="1" customWidth="1"/>
    <col min="13" max="13" width="11.42578125" style="16"/>
    <col min="14" max="14" width="12.140625" style="16" bestFit="1" customWidth="1"/>
    <col min="15" max="15" width="12.7109375" style="16" bestFit="1" customWidth="1"/>
    <col min="16" max="16384" width="11.42578125" style="16"/>
  </cols>
  <sheetData>
    <row r="1" spans="2:13" x14ac:dyDescent="0.25">
      <c r="B1" s="92" t="s">
        <v>87</v>
      </c>
    </row>
    <row r="2" spans="2:13" x14ac:dyDescent="0.25">
      <c r="B2" s="124" t="s">
        <v>86</v>
      </c>
    </row>
    <row r="3" spans="2:13" s="125" customFormat="1" ht="18.75" x14ac:dyDescent="0.25">
      <c r="B3" s="126"/>
    </row>
    <row r="5" spans="2:13" x14ac:dyDescent="0.25">
      <c r="B5" s="210" t="s">
        <v>78</v>
      </c>
      <c r="C5" s="210"/>
      <c r="D5" s="210"/>
      <c r="E5" s="210"/>
      <c r="F5" s="210"/>
      <c r="G5" s="210"/>
      <c r="H5" s="210"/>
      <c r="I5" s="210"/>
      <c r="J5" s="210"/>
      <c r="K5" s="210"/>
    </row>
    <row r="6" spans="2:13" s="93" customFormat="1" x14ac:dyDescent="0.25">
      <c r="B6" s="211" t="s">
        <v>79</v>
      </c>
      <c r="C6" s="212" t="s">
        <v>80</v>
      </c>
      <c r="D6" s="213" t="s">
        <v>81</v>
      </c>
      <c r="E6" s="94" t="s">
        <v>1</v>
      </c>
      <c r="F6" s="94" t="s">
        <v>3</v>
      </c>
      <c r="G6" s="94" t="s">
        <v>1</v>
      </c>
      <c r="H6" s="128" t="s">
        <v>2</v>
      </c>
      <c r="I6" s="94" t="s">
        <v>1</v>
      </c>
      <c r="J6" s="128" t="s">
        <v>3</v>
      </c>
      <c r="K6" s="94" t="s">
        <v>1</v>
      </c>
    </row>
    <row r="7" spans="2:13" s="89" customFormat="1" ht="45" x14ac:dyDescent="0.25">
      <c r="B7" s="211"/>
      <c r="C7" s="212"/>
      <c r="D7" s="213"/>
      <c r="E7" s="129" t="s">
        <v>5</v>
      </c>
      <c r="F7" s="130" t="s">
        <v>82</v>
      </c>
      <c r="G7" s="129" t="s">
        <v>83</v>
      </c>
      <c r="H7" s="129" t="s">
        <v>6</v>
      </c>
      <c r="I7" s="129" t="s">
        <v>7</v>
      </c>
      <c r="J7" s="129" t="s">
        <v>8</v>
      </c>
      <c r="K7" s="129" t="s">
        <v>9</v>
      </c>
      <c r="L7" s="89" t="s">
        <v>84</v>
      </c>
    </row>
    <row r="8" spans="2:13" x14ac:dyDescent="0.25">
      <c r="B8" s="131" t="s">
        <v>10</v>
      </c>
      <c r="C8" s="132">
        <v>35000</v>
      </c>
      <c r="D8" s="132">
        <v>100000</v>
      </c>
      <c r="E8" s="133">
        <f>+C8+D8</f>
        <v>135000</v>
      </c>
      <c r="F8" s="134">
        <f t="shared" ref="F8:F17" si="0">+IF(L8&gt;900000,IF((900000-L7)&gt;0,900000-L7,0),E8)</f>
        <v>135000</v>
      </c>
      <c r="G8" s="133">
        <f>+E8-F8</f>
        <v>0</v>
      </c>
      <c r="H8" s="135">
        <f t="shared" ref="H8:H19" si="1">+IF(G8=0,0,VLOOKUP(G8,t_isrm2022,3))</f>
        <v>0</v>
      </c>
      <c r="I8" s="133">
        <f>+G8*H8</f>
        <v>0</v>
      </c>
      <c r="J8" s="132">
        <f>+IF(G8&gt;0,D8*1.25%,0)</f>
        <v>0</v>
      </c>
      <c r="K8" s="133">
        <f t="shared" ref="K8:K19" si="2">+IF(I8&gt;J8,I8-J8,0)</f>
        <v>0</v>
      </c>
      <c r="L8" s="12">
        <f>+E8</f>
        <v>135000</v>
      </c>
      <c r="M8" s="12">
        <f>900000-L8</f>
        <v>765000</v>
      </c>
    </row>
    <row r="9" spans="2:13" x14ac:dyDescent="0.25">
      <c r="B9" s="131" t="s">
        <v>11</v>
      </c>
      <c r="C9" s="132">
        <v>72000</v>
      </c>
      <c r="D9" s="132">
        <v>0</v>
      </c>
      <c r="E9" s="133">
        <f t="shared" ref="E9:E19" si="3">+C9+D9</f>
        <v>72000</v>
      </c>
      <c r="F9" s="134">
        <f t="shared" si="0"/>
        <v>72000</v>
      </c>
      <c r="G9" s="133">
        <f t="shared" ref="G9:G20" si="4">+E9-F9</f>
        <v>0</v>
      </c>
      <c r="H9" s="135">
        <f t="shared" si="1"/>
        <v>0</v>
      </c>
      <c r="I9" s="133">
        <f t="shared" ref="I9:I19" si="5">+G9*H9</f>
        <v>0</v>
      </c>
      <c r="J9" s="132">
        <f t="shared" ref="J9:J19" si="6">+IF(G9&gt;0,D9*1.25%,0)</f>
        <v>0</v>
      </c>
      <c r="K9" s="133">
        <f t="shared" si="2"/>
        <v>0</v>
      </c>
      <c r="L9" s="12">
        <f>+L8+E9</f>
        <v>207000</v>
      </c>
      <c r="M9" s="12">
        <f t="shared" ref="M9:M19" si="7">900000-L9</f>
        <v>693000</v>
      </c>
    </row>
    <row r="10" spans="2:13" x14ac:dyDescent="0.25">
      <c r="B10" s="131" t="s">
        <v>12</v>
      </c>
      <c r="C10" s="132">
        <v>148000</v>
      </c>
      <c r="D10" s="132">
        <v>65000</v>
      </c>
      <c r="E10" s="133">
        <f t="shared" si="3"/>
        <v>213000</v>
      </c>
      <c r="F10" s="134">
        <f t="shared" si="0"/>
        <v>213000</v>
      </c>
      <c r="G10" s="133">
        <f t="shared" si="4"/>
        <v>0</v>
      </c>
      <c r="H10" s="135">
        <f t="shared" si="1"/>
        <v>0</v>
      </c>
      <c r="I10" s="133">
        <f t="shared" si="5"/>
        <v>0</v>
      </c>
      <c r="J10" s="132">
        <f t="shared" si="6"/>
        <v>0</v>
      </c>
      <c r="K10" s="133">
        <f t="shared" si="2"/>
        <v>0</v>
      </c>
      <c r="L10" s="12">
        <f t="shared" ref="L10:L19" si="8">+L9+E10</f>
        <v>420000</v>
      </c>
      <c r="M10" s="12">
        <f t="shared" si="7"/>
        <v>480000</v>
      </c>
    </row>
    <row r="11" spans="2:13" x14ac:dyDescent="0.25">
      <c r="B11" s="131" t="s">
        <v>14</v>
      </c>
      <c r="C11" s="132">
        <v>67000</v>
      </c>
      <c r="D11" s="132">
        <v>32000</v>
      </c>
      <c r="E11" s="133">
        <f t="shared" si="3"/>
        <v>99000</v>
      </c>
      <c r="F11" s="134">
        <f t="shared" si="0"/>
        <v>99000</v>
      </c>
      <c r="G11" s="133">
        <f t="shared" si="4"/>
        <v>0</v>
      </c>
      <c r="H11" s="135">
        <f t="shared" si="1"/>
        <v>0</v>
      </c>
      <c r="I11" s="133">
        <f t="shared" si="5"/>
        <v>0</v>
      </c>
      <c r="J11" s="132">
        <f t="shared" si="6"/>
        <v>0</v>
      </c>
      <c r="K11" s="133">
        <f t="shared" si="2"/>
        <v>0</v>
      </c>
      <c r="L11" s="12">
        <f t="shared" si="8"/>
        <v>519000</v>
      </c>
      <c r="M11" s="12">
        <f t="shared" si="7"/>
        <v>381000</v>
      </c>
    </row>
    <row r="12" spans="2:13" x14ac:dyDescent="0.25">
      <c r="B12" s="131" t="s">
        <v>15</v>
      </c>
      <c r="C12" s="132">
        <v>89000</v>
      </c>
      <c r="D12" s="132">
        <v>49000</v>
      </c>
      <c r="E12" s="133">
        <f t="shared" si="3"/>
        <v>138000</v>
      </c>
      <c r="F12" s="134">
        <f t="shared" si="0"/>
        <v>138000</v>
      </c>
      <c r="G12" s="133">
        <f t="shared" si="4"/>
        <v>0</v>
      </c>
      <c r="H12" s="135">
        <f t="shared" si="1"/>
        <v>0</v>
      </c>
      <c r="I12" s="133">
        <f t="shared" si="5"/>
        <v>0</v>
      </c>
      <c r="J12" s="132">
        <f t="shared" si="6"/>
        <v>0</v>
      </c>
      <c r="K12" s="133">
        <f t="shared" si="2"/>
        <v>0</v>
      </c>
      <c r="L12" s="12">
        <f t="shared" si="8"/>
        <v>657000</v>
      </c>
      <c r="M12" s="12">
        <f t="shared" si="7"/>
        <v>243000</v>
      </c>
    </row>
    <row r="13" spans="2:13" x14ac:dyDescent="0.25">
      <c r="B13" s="131" t="s">
        <v>16</v>
      </c>
      <c r="C13" s="132">
        <v>41000</v>
      </c>
      <c r="D13" s="132">
        <v>118000</v>
      </c>
      <c r="E13" s="133">
        <f t="shared" si="3"/>
        <v>159000</v>
      </c>
      <c r="F13" s="134">
        <f t="shared" si="0"/>
        <v>159000</v>
      </c>
      <c r="G13" s="133">
        <f t="shared" si="4"/>
        <v>0</v>
      </c>
      <c r="H13" s="135">
        <f t="shared" si="1"/>
        <v>0</v>
      </c>
      <c r="I13" s="133">
        <f t="shared" si="5"/>
        <v>0</v>
      </c>
      <c r="J13" s="132">
        <f t="shared" si="6"/>
        <v>0</v>
      </c>
      <c r="K13" s="133">
        <f t="shared" si="2"/>
        <v>0</v>
      </c>
      <c r="L13" s="12">
        <f t="shared" si="8"/>
        <v>816000</v>
      </c>
      <c r="M13" s="12">
        <f t="shared" si="7"/>
        <v>84000</v>
      </c>
    </row>
    <row r="14" spans="2:13" x14ac:dyDescent="0.25">
      <c r="B14" s="131" t="s">
        <v>17</v>
      </c>
      <c r="C14" s="132">
        <v>104000</v>
      </c>
      <c r="D14" s="132">
        <v>0</v>
      </c>
      <c r="E14" s="133">
        <f t="shared" si="3"/>
        <v>104000</v>
      </c>
      <c r="F14" s="134">
        <f t="shared" si="0"/>
        <v>84000</v>
      </c>
      <c r="G14" s="133">
        <f t="shared" si="4"/>
        <v>20000</v>
      </c>
      <c r="H14" s="135">
        <f t="shared" si="1"/>
        <v>0.01</v>
      </c>
      <c r="I14" s="133">
        <f t="shared" si="5"/>
        <v>200</v>
      </c>
      <c r="J14" s="132">
        <f t="shared" si="6"/>
        <v>0</v>
      </c>
      <c r="K14" s="133">
        <f t="shared" si="2"/>
        <v>200</v>
      </c>
      <c r="L14" s="12">
        <f t="shared" si="8"/>
        <v>920000</v>
      </c>
      <c r="M14" s="12">
        <f t="shared" si="7"/>
        <v>-20000</v>
      </c>
    </row>
    <row r="15" spans="2:13" x14ac:dyDescent="0.25">
      <c r="B15" s="136" t="s">
        <v>18</v>
      </c>
      <c r="C15" s="137">
        <v>19000</v>
      </c>
      <c r="D15" s="137">
        <v>82000</v>
      </c>
      <c r="E15" s="138">
        <f t="shared" si="3"/>
        <v>101000</v>
      </c>
      <c r="F15" s="138">
        <f t="shared" si="0"/>
        <v>0</v>
      </c>
      <c r="G15" s="138">
        <f t="shared" si="4"/>
        <v>101000</v>
      </c>
      <c r="H15" s="135">
        <f t="shared" si="1"/>
        <v>0.02</v>
      </c>
      <c r="I15" s="138">
        <f t="shared" si="5"/>
        <v>2020</v>
      </c>
      <c r="J15" s="137">
        <f t="shared" si="6"/>
        <v>1025</v>
      </c>
      <c r="K15" s="138">
        <f t="shared" si="2"/>
        <v>995</v>
      </c>
      <c r="L15" s="12">
        <f t="shared" si="8"/>
        <v>1021000</v>
      </c>
      <c r="M15" s="12">
        <f t="shared" si="7"/>
        <v>-121000</v>
      </c>
    </row>
    <row r="16" spans="2:13" x14ac:dyDescent="0.25">
      <c r="B16" s="136" t="s">
        <v>19</v>
      </c>
      <c r="C16" s="137">
        <v>34000</v>
      </c>
      <c r="D16" s="137">
        <v>74000</v>
      </c>
      <c r="E16" s="138">
        <f t="shared" si="3"/>
        <v>108000</v>
      </c>
      <c r="F16" s="138">
        <f t="shared" si="0"/>
        <v>0</v>
      </c>
      <c r="G16" s="138">
        <f t="shared" si="4"/>
        <v>108000</v>
      </c>
      <c r="H16" s="135">
        <f t="shared" si="1"/>
        <v>0.02</v>
      </c>
      <c r="I16" s="138">
        <f t="shared" si="5"/>
        <v>2160</v>
      </c>
      <c r="J16" s="137">
        <f t="shared" si="6"/>
        <v>925</v>
      </c>
      <c r="K16" s="138">
        <f t="shared" si="2"/>
        <v>1235</v>
      </c>
      <c r="L16" s="12">
        <f t="shared" si="8"/>
        <v>1129000</v>
      </c>
      <c r="M16" s="12">
        <f t="shared" si="7"/>
        <v>-229000</v>
      </c>
    </row>
    <row r="17" spans="2:16" x14ac:dyDescent="0.25">
      <c r="B17" s="136" t="s">
        <v>20</v>
      </c>
      <c r="C17" s="137">
        <v>8000</v>
      </c>
      <c r="D17" s="137">
        <v>67000</v>
      </c>
      <c r="E17" s="138">
        <f t="shared" si="3"/>
        <v>75000</v>
      </c>
      <c r="F17" s="138">
        <f t="shared" si="0"/>
        <v>0</v>
      </c>
      <c r="G17" s="138">
        <f t="shared" si="4"/>
        <v>75000</v>
      </c>
      <c r="H17" s="139">
        <f t="shared" si="1"/>
        <v>1.4999999999999999E-2</v>
      </c>
      <c r="I17" s="138">
        <f t="shared" si="5"/>
        <v>1125</v>
      </c>
      <c r="J17" s="137">
        <f t="shared" si="6"/>
        <v>837.5</v>
      </c>
      <c r="K17" s="138">
        <f t="shared" si="2"/>
        <v>287.5</v>
      </c>
      <c r="L17" s="12">
        <f t="shared" si="8"/>
        <v>1204000</v>
      </c>
      <c r="M17" s="12">
        <f t="shared" si="7"/>
        <v>-304000</v>
      </c>
    </row>
    <row r="18" spans="2:16" x14ac:dyDescent="0.25">
      <c r="B18" s="136" t="s">
        <v>21</v>
      </c>
      <c r="C18" s="137">
        <v>50000</v>
      </c>
      <c r="D18" s="137">
        <v>57000</v>
      </c>
      <c r="E18" s="138">
        <f t="shared" si="3"/>
        <v>107000</v>
      </c>
      <c r="F18" s="138">
        <f>+IF(L18&gt;900000,IF((900000-L17)&gt;0,900000-L17,0),E18)</f>
        <v>0</v>
      </c>
      <c r="G18" s="138">
        <f t="shared" si="4"/>
        <v>107000</v>
      </c>
      <c r="H18" s="135">
        <f t="shared" si="1"/>
        <v>0.02</v>
      </c>
      <c r="I18" s="138">
        <f t="shared" si="5"/>
        <v>2140</v>
      </c>
      <c r="J18" s="137">
        <f t="shared" si="6"/>
        <v>712.5</v>
      </c>
      <c r="K18" s="138">
        <f t="shared" si="2"/>
        <v>1427.5</v>
      </c>
      <c r="L18" s="12">
        <f t="shared" si="8"/>
        <v>1311000</v>
      </c>
      <c r="M18" s="12">
        <f t="shared" si="7"/>
        <v>-411000</v>
      </c>
    </row>
    <row r="19" spans="2:16" x14ac:dyDescent="0.25">
      <c r="B19" s="136" t="s">
        <v>22</v>
      </c>
      <c r="C19" s="137">
        <v>14000</v>
      </c>
      <c r="D19" s="137">
        <v>31000</v>
      </c>
      <c r="E19" s="138">
        <f t="shared" si="3"/>
        <v>45000</v>
      </c>
      <c r="F19" s="138">
        <f>+IF(L19&gt;900000,IF((900000-L18)&gt;0,900000-L18,0),E19)</f>
        <v>0</v>
      </c>
      <c r="G19" s="138">
        <f t="shared" si="4"/>
        <v>45000</v>
      </c>
      <c r="H19" s="135">
        <f t="shared" si="1"/>
        <v>1.0999999999999999E-2</v>
      </c>
      <c r="I19" s="138">
        <f t="shared" si="5"/>
        <v>494.99999999999994</v>
      </c>
      <c r="J19" s="137">
        <f t="shared" si="6"/>
        <v>387.5</v>
      </c>
      <c r="K19" s="138">
        <f t="shared" si="2"/>
        <v>107.49999999999994</v>
      </c>
      <c r="L19" s="12">
        <f t="shared" si="8"/>
        <v>1356000</v>
      </c>
      <c r="M19" s="12">
        <f t="shared" si="7"/>
        <v>-456000</v>
      </c>
    </row>
    <row r="20" spans="2:16" s="92" customFormat="1" x14ac:dyDescent="0.25">
      <c r="B20" s="140" t="s">
        <v>23</v>
      </c>
      <c r="C20" s="141">
        <f t="shared" ref="C20:E20" si="9">SUM(C8:C19)</f>
        <v>681000</v>
      </c>
      <c r="D20" s="142">
        <f t="shared" si="9"/>
        <v>675000</v>
      </c>
      <c r="E20" s="143">
        <f t="shared" si="9"/>
        <v>1356000</v>
      </c>
      <c r="F20" s="144">
        <f>SUM(F8:F19)</f>
        <v>900000</v>
      </c>
      <c r="G20" s="143">
        <f t="shared" si="4"/>
        <v>456000</v>
      </c>
      <c r="H20" s="87"/>
      <c r="I20" s="145">
        <f>SUM(I8:I19)</f>
        <v>8140</v>
      </c>
      <c r="J20" s="145">
        <f>SUM(J8:J19)</f>
        <v>3887.5</v>
      </c>
      <c r="K20" s="145">
        <f>SUM(K8:K19)</f>
        <v>4252.5</v>
      </c>
    </row>
    <row r="23" spans="2:16" x14ac:dyDescent="0.25">
      <c r="B23" s="16"/>
    </row>
    <row r="24" spans="2:16" x14ac:dyDescent="0.25">
      <c r="B24" s="146"/>
      <c r="C24" s="147" t="s">
        <v>24</v>
      </c>
      <c r="D24" s="147"/>
      <c r="E24" s="147"/>
      <c r="F24" s="147"/>
      <c r="G24" s="147"/>
      <c r="H24" s="147"/>
      <c r="I24" s="147"/>
      <c r="J24" s="147"/>
      <c r="K24" s="147"/>
      <c r="L24" s="147"/>
    </row>
    <row r="25" spans="2:16" x14ac:dyDescent="0.25">
      <c r="B25" s="146"/>
      <c r="C25" s="16" t="s">
        <v>27</v>
      </c>
      <c r="E25" s="90">
        <f>+E20</f>
        <v>1356000</v>
      </c>
    </row>
    <row r="26" spans="2:16" x14ac:dyDescent="0.25">
      <c r="B26" s="146" t="s">
        <v>3</v>
      </c>
      <c r="C26" s="16" t="s">
        <v>82</v>
      </c>
      <c r="E26" s="90">
        <f>+F20</f>
        <v>900000</v>
      </c>
      <c r="H26" s="148" t="s">
        <v>25</v>
      </c>
    </row>
    <row r="27" spans="2:16" x14ac:dyDescent="0.25">
      <c r="B27" s="146" t="s">
        <v>1</v>
      </c>
      <c r="C27" s="16" t="s">
        <v>85</v>
      </c>
      <c r="E27" s="90">
        <f>+E25-E26</f>
        <v>456000</v>
      </c>
      <c r="H27" s="16" t="s">
        <v>28</v>
      </c>
      <c r="K27" s="149">
        <f>+AVERAGE(H8:H19)</f>
        <v>8.0000000000000002E-3</v>
      </c>
    </row>
    <row r="28" spans="2:16" x14ac:dyDescent="0.25">
      <c r="B28" s="146" t="s">
        <v>2</v>
      </c>
      <c r="C28" s="16" t="s">
        <v>29</v>
      </c>
      <c r="E28" s="91">
        <f>+VLOOKUP(E27,T_ISR2022,3)</f>
        <v>1.0999999999999999E-2</v>
      </c>
      <c r="G28" s="146" t="s">
        <v>3</v>
      </c>
      <c r="H28" s="16" t="s">
        <v>30</v>
      </c>
      <c r="K28" s="149">
        <f>+E28</f>
        <v>1.0999999999999999E-2</v>
      </c>
    </row>
    <row r="29" spans="2:16" x14ac:dyDescent="0.25">
      <c r="B29" s="150" t="s">
        <v>1</v>
      </c>
      <c r="C29" s="92" t="s">
        <v>31</v>
      </c>
      <c r="D29" s="92"/>
      <c r="E29" s="88">
        <f>+E27*E28</f>
        <v>5016</v>
      </c>
      <c r="F29" s="92"/>
      <c r="G29" s="150" t="s">
        <v>1</v>
      </c>
      <c r="H29" s="92" t="s">
        <v>32</v>
      </c>
      <c r="I29" s="92"/>
      <c r="K29" s="151">
        <f>+ABS(K27-K28)</f>
        <v>2.9999999999999992E-3</v>
      </c>
    </row>
    <row r="30" spans="2:16" x14ac:dyDescent="0.25">
      <c r="B30" s="146" t="s">
        <v>3</v>
      </c>
      <c r="C30" s="16" t="s">
        <v>33</v>
      </c>
      <c r="E30" s="90">
        <f>+K20</f>
        <v>4252.5</v>
      </c>
      <c r="N30" s="152" t="s">
        <v>13</v>
      </c>
      <c r="O30" s="89"/>
    </row>
    <row r="31" spans="2:16" x14ac:dyDescent="0.25">
      <c r="B31" s="146" t="s">
        <v>3</v>
      </c>
      <c r="C31" s="16" t="s">
        <v>34</v>
      </c>
      <c r="E31" s="90">
        <f>+J20</f>
        <v>3887.5</v>
      </c>
      <c r="N31" s="90">
        <v>1</v>
      </c>
      <c r="O31" s="90">
        <v>25000</v>
      </c>
      <c r="P31" s="91">
        <v>0.01</v>
      </c>
    </row>
    <row r="32" spans="2:16" x14ac:dyDescent="0.25">
      <c r="B32" s="150" t="s">
        <v>1</v>
      </c>
      <c r="C32" s="92" t="s">
        <v>35</v>
      </c>
      <c r="D32" s="92"/>
      <c r="E32" s="88">
        <f>+E29-E31-E30</f>
        <v>-3124</v>
      </c>
      <c r="F32" s="92"/>
      <c r="K32" s="92"/>
      <c r="N32" s="90">
        <f>+O31+1</f>
        <v>25001</v>
      </c>
      <c r="O32" s="90">
        <v>50000</v>
      </c>
      <c r="P32" s="91">
        <v>1.0999999999999999E-2</v>
      </c>
    </row>
    <row r="33" spans="2:16" x14ac:dyDescent="0.25">
      <c r="B33" s="16"/>
      <c r="N33" s="90">
        <f>+O32+1</f>
        <v>50001</v>
      </c>
      <c r="O33" s="90">
        <v>83333.33</v>
      </c>
      <c r="P33" s="91">
        <v>1.4999999999999999E-2</v>
      </c>
    </row>
    <row r="34" spans="2:16" x14ac:dyDescent="0.25">
      <c r="B34" s="16"/>
      <c r="N34" s="90">
        <f>+O33+1</f>
        <v>83334.33</v>
      </c>
      <c r="O34" s="90">
        <v>208333.33</v>
      </c>
      <c r="P34" s="91">
        <v>0.02</v>
      </c>
    </row>
    <row r="35" spans="2:16" x14ac:dyDescent="0.25">
      <c r="B35" s="16"/>
      <c r="N35" s="90">
        <f>+O34+1</f>
        <v>208334.33</v>
      </c>
      <c r="O35" s="90">
        <v>3500000</v>
      </c>
      <c r="P35" s="91">
        <v>2.5000000000000001E-2</v>
      </c>
    </row>
    <row r="36" spans="2:16" x14ac:dyDescent="0.25">
      <c r="B36" s="16"/>
    </row>
    <row r="37" spans="2:16" x14ac:dyDescent="0.25">
      <c r="B37" s="16"/>
    </row>
    <row r="38" spans="2:16" x14ac:dyDescent="0.25">
      <c r="B38" s="16"/>
      <c r="N38" s="12"/>
      <c r="O38" s="12"/>
    </row>
    <row r="40" spans="2:16" x14ac:dyDescent="0.25">
      <c r="N40" s="92"/>
      <c r="O40" s="92"/>
      <c r="P40" s="92"/>
    </row>
    <row r="43" spans="2:16" x14ac:dyDescent="0.25">
      <c r="N43" s="152" t="s">
        <v>26</v>
      </c>
    </row>
    <row r="44" spans="2:16" x14ac:dyDescent="0.25">
      <c r="N44" s="90">
        <v>1</v>
      </c>
      <c r="O44" s="90">
        <v>300000</v>
      </c>
      <c r="P44" s="91">
        <v>0.01</v>
      </c>
    </row>
    <row r="45" spans="2:16" x14ac:dyDescent="0.25">
      <c r="N45" s="90">
        <f>+O44+1</f>
        <v>300001</v>
      </c>
      <c r="O45" s="90">
        <v>600000</v>
      </c>
      <c r="P45" s="91">
        <v>1.0999999999999999E-2</v>
      </c>
    </row>
    <row r="46" spans="2:16" x14ac:dyDescent="0.25">
      <c r="N46" s="90">
        <f>+O45+1</f>
        <v>600001</v>
      </c>
      <c r="O46" s="90">
        <v>1000000</v>
      </c>
      <c r="P46" s="91">
        <v>1.4999999999999999E-2</v>
      </c>
    </row>
    <row r="47" spans="2:16" x14ac:dyDescent="0.25">
      <c r="N47" s="90">
        <f>+O46+1</f>
        <v>1000001</v>
      </c>
      <c r="O47" s="90">
        <v>2500000</v>
      </c>
      <c r="P47" s="91">
        <v>0.02</v>
      </c>
    </row>
    <row r="48" spans="2:16" x14ac:dyDescent="0.25">
      <c r="N48" s="90">
        <f>+O47+1</f>
        <v>2500001</v>
      </c>
      <c r="O48" s="90">
        <v>3500000</v>
      </c>
      <c r="P48" s="91">
        <v>2.5000000000000001E-2</v>
      </c>
    </row>
    <row r="58" spans="14:14" x14ac:dyDescent="0.25">
      <c r="N58" s="127"/>
    </row>
    <row r="59" spans="14:14" x14ac:dyDescent="0.25">
      <c r="N59" s="127"/>
    </row>
  </sheetData>
  <mergeCells count="4">
    <mergeCell ref="B5:K5"/>
    <mergeCell ref="B6:B7"/>
    <mergeCell ref="C6:C7"/>
    <mergeCell ref="D6:D7"/>
  </mergeCells>
  <conditionalFormatting sqref="H8:H19">
    <cfRule type="containsText" dxfId="6" priority="2" operator="containsText" text="0.025">
      <formula>NOT(ISERROR(SEARCH("0.025",H8)))</formula>
    </cfRule>
    <cfRule type="cellIs" dxfId="5" priority="3" operator="equal">
      <formula>0.02</formula>
    </cfRule>
    <cfRule type="containsText" dxfId="4" priority="4" operator="containsText" text="0.011">
      <formula>NOT(ISERROR(SEARCH("0.011",H8)))</formula>
    </cfRule>
    <cfRule type="cellIs" dxfId="3" priority="5" operator="equal">
      <formula>0.01</formula>
    </cfRule>
  </conditionalFormatting>
  <conditionalFormatting sqref="H8:H19">
    <cfRule type="cellIs" dxfId="2" priority="1" operator="equal">
      <formula>0.015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"/>
  <sheetViews>
    <sheetView showGridLines="0" workbookViewId="0">
      <selection activeCell="B19" sqref="B19"/>
    </sheetView>
  </sheetViews>
  <sheetFormatPr baseColWidth="10" defaultRowHeight="15" x14ac:dyDescent="0.25"/>
  <cols>
    <col min="1" max="1" width="7.5703125" style="101" bestFit="1" customWidth="1"/>
    <col min="2" max="2" width="54.140625" style="102" bestFit="1" customWidth="1"/>
    <col min="3" max="3" width="12.140625" style="109" bestFit="1" customWidth="1"/>
    <col min="4" max="4" width="11.42578125" style="102"/>
    <col min="5" max="10" width="11.7109375" style="102" bestFit="1" customWidth="1"/>
    <col min="11" max="11" width="11.85546875" style="102" bestFit="1" customWidth="1"/>
    <col min="12" max="12" width="12.28515625" style="102" bestFit="1" customWidth="1"/>
    <col min="13" max="14" width="11.7109375" style="102" bestFit="1" customWidth="1"/>
    <col min="15" max="15" width="3.42578125" style="102" customWidth="1"/>
    <col min="16" max="16" width="14.28515625" style="102" customWidth="1"/>
    <col min="17" max="16384" width="11.42578125" style="102"/>
  </cols>
  <sheetData>
    <row r="1" spans="1:16" x14ac:dyDescent="0.25">
      <c r="B1" s="97" t="s">
        <v>88</v>
      </c>
    </row>
    <row r="2" spans="1:16" x14ac:dyDescent="0.25">
      <c r="B2" s="102" t="s">
        <v>89</v>
      </c>
    </row>
    <row r="3" spans="1:16" ht="15.75" thickBot="1" x14ac:dyDescent="0.3">
      <c r="B3" s="95"/>
    </row>
    <row r="4" spans="1:16" s="107" customFormat="1" ht="30" x14ac:dyDescent="0.25">
      <c r="A4" s="103"/>
      <c r="B4" s="104" t="s">
        <v>54</v>
      </c>
      <c r="C4" s="105" t="s">
        <v>10</v>
      </c>
      <c r="D4" s="104" t="s">
        <v>11</v>
      </c>
      <c r="E4" s="104" t="s">
        <v>12</v>
      </c>
      <c r="F4" s="104" t="s">
        <v>14</v>
      </c>
      <c r="G4" s="104" t="s">
        <v>15</v>
      </c>
      <c r="H4" s="104" t="s">
        <v>16</v>
      </c>
      <c r="I4" s="104" t="s">
        <v>17</v>
      </c>
      <c r="J4" s="104" t="s">
        <v>18</v>
      </c>
      <c r="K4" s="106" t="s">
        <v>19</v>
      </c>
      <c r="L4" s="104" t="s">
        <v>20</v>
      </c>
      <c r="M4" s="104" t="s">
        <v>21</v>
      </c>
      <c r="N4" s="104" t="s">
        <v>22</v>
      </c>
      <c r="P4" s="108" t="s">
        <v>70</v>
      </c>
    </row>
    <row r="5" spans="1:16" x14ac:dyDescent="0.25">
      <c r="B5" s="102" t="s">
        <v>62</v>
      </c>
      <c r="C5" s="109">
        <v>500000</v>
      </c>
      <c r="D5" s="109">
        <v>500000</v>
      </c>
      <c r="E5" s="109">
        <v>500000</v>
      </c>
      <c r="F5" s="109">
        <v>500000</v>
      </c>
      <c r="G5" s="109">
        <v>500000</v>
      </c>
      <c r="H5" s="109">
        <v>500000</v>
      </c>
      <c r="I5" s="109">
        <v>500000</v>
      </c>
      <c r="J5" s="109">
        <v>500000</v>
      </c>
      <c r="K5" s="110">
        <v>500000</v>
      </c>
      <c r="L5" s="109">
        <v>500000</v>
      </c>
      <c r="M5" s="109">
        <v>500000</v>
      </c>
      <c r="N5" s="109">
        <v>500000</v>
      </c>
      <c r="O5" s="109"/>
      <c r="P5" s="109">
        <f>SUM(C5:N5)</f>
        <v>6000000</v>
      </c>
    </row>
    <row r="6" spans="1:16" x14ac:dyDescent="0.25">
      <c r="B6" s="115" t="s">
        <v>63</v>
      </c>
      <c r="C6" s="116">
        <f>+SUM($C$5:C5)</f>
        <v>500000</v>
      </c>
      <c r="D6" s="116">
        <f>+SUM($C$5:D5)</f>
        <v>1000000</v>
      </c>
      <c r="E6" s="116">
        <f>+SUM($C$5:E5)</f>
        <v>1500000</v>
      </c>
      <c r="F6" s="116">
        <f>+SUM($C$5:F5)</f>
        <v>2000000</v>
      </c>
      <c r="G6" s="116">
        <f>+SUM($C$5:G5)</f>
        <v>2500000</v>
      </c>
      <c r="H6" s="116">
        <f>+SUM($C$5:H5)</f>
        <v>3000000</v>
      </c>
      <c r="I6" s="116">
        <f>+SUM($C$5:I5)</f>
        <v>3500000</v>
      </c>
      <c r="J6" s="116">
        <f>+SUM($C$5:J5)</f>
        <v>4000000</v>
      </c>
      <c r="K6" s="116">
        <f>+SUM($C$5:K5)</f>
        <v>4500000</v>
      </c>
      <c r="L6" s="116">
        <f>+SUM($C$5:L5)</f>
        <v>5000000</v>
      </c>
      <c r="M6" s="116">
        <f>+SUM($C$5:M5)</f>
        <v>5500000</v>
      </c>
      <c r="N6" s="116">
        <f>+SUM($C$5:N5)</f>
        <v>6000000</v>
      </c>
      <c r="O6" s="109"/>
      <c r="P6" s="116">
        <f>+P5-N6</f>
        <v>0</v>
      </c>
    </row>
    <row r="7" spans="1:16" x14ac:dyDescent="0.25">
      <c r="D7" s="109"/>
      <c r="E7" s="109"/>
      <c r="F7" s="109"/>
      <c r="G7" s="109"/>
      <c r="H7" s="109"/>
      <c r="I7" s="109"/>
      <c r="J7" s="109"/>
      <c r="K7" s="110"/>
      <c r="L7" s="109"/>
      <c r="M7" s="109"/>
      <c r="N7" s="109"/>
      <c r="O7" s="109"/>
      <c r="P7" s="109"/>
    </row>
    <row r="8" spans="1:16" x14ac:dyDescent="0.25">
      <c r="B8" s="102" t="s">
        <v>64</v>
      </c>
      <c r="C8" s="109">
        <v>300000</v>
      </c>
      <c r="D8" s="109">
        <v>300000</v>
      </c>
      <c r="E8" s="109">
        <v>300000</v>
      </c>
      <c r="F8" s="109">
        <v>300000</v>
      </c>
      <c r="G8" s="109">
        <v>300000</v>
      </c>
      <c r="H8" s="109">
        <v>300000</v>
      </c>
      <c r="I8" s="109">
        <v>300000</v>
      </c>
      <c r="J8" s="109">
        <v>300000</v>
      </c>
      <c r="K8" s="109">
        <v>300000</v>
      </c>
      <c r="L8" s="109">
        <v>300000</v>
      </c>
      <c r="M8" s="109">
        <v>300000</v>
      </c>
      <c r="N8" s="109">
        <v>300000</v>
      </c>
      <c r="O8" s="109"/>
      <c r="P8" s="109">
        <f>SUM(C8:N8)</f>
        <v>3600000</v>
      </c>
    </row>
    <row r="9" spans="1:16" x14ac:dyDescent="0.25">
      <c r="A9" s="101" t="s">
        <v>3</v>
      </c>
      <c r="B9" s="115" t="s">
        <v>65</v>
      </c>
      <c r="C9" s="116">
        <f>+C8</f>
        <v>300000</v>
      </c>
      <c r="D9" s="116">
        <f>+SUM($C$8:D8)</f>
        <v>600000</v>
      </c>
      <c r="E9" s="116">
        <f>+SUM($C$8:E8)</f>
        <v>900000</v>
      </c>
      <c r="F9" s="116">
        <f>+SUM($C$8:F8)</f>
        <v>1200000</v>
      </c>
      <c r="G9" s="116">
        <f>+SUM($C$8:G8)</f>
        <v>1500000</v>
      </c>
      <c r="H9" s="116">
        <f>+SUM($C$8:H8)</f>
        <v>1800000</v>
      </c>
      <c r="I9" s="116">
        <f>+SUM($C$8:I8)</f>
        <v>2100000</v>
      </c>
      <c r="J9" s="116">
        <f>+SUM($C$8:J8)</f>
        <v>2400000</v>
      </c>
      <c r="K9" s="116">
        <f>+SUM($C$8:K8)</f>
        <v>2700000</v>
      </c>
      <c r="L9" s="116">
        <f>+SUM($C$8:L8)</f>
        <v>3000000</v>
      </c>
      <c r="M9" s="116">
        <f>+SUM($C$8:M8)</f>
        <v>3300000</v>
      </c>
      <c r="N9" s="116">
        <f>+SUM($C$8:N8)</f>
        <v>3600000</v>
      </c>
      <c r="O9" s="109"/>
      <c r="P9" s="116">
        <f>+P8-N9</f>
        <v>0</v>
      </c>
    </row>
    <row r="10" spans="1:16" x14ac:dyDescent="0.25">
      <c r="D10" s="109"/>
      <c r="E10" s="109"/>
      <c r="F10" s="109"/>
      <c r="G10" s="109"/>
      <c r="H10" s="109"/>
      <c r="I10" s="109"/>
      <c r="J10" s="109"/>
      <c r="K10" s="110"/>
      <c r="L10" s="109"/>
      <c r="M10" s="109"/>
      <c r="N10" s="109"/>
      <c r="O10" s="109"/>
      <c r="P10" s="109"/>
    </row>
    <row r="11" spans="1:16" x14ac:dyDescent="0.25">
      <c r="B11" s="102" t="s">
        <v>66</v>
      </c>
      <c r="C11" s="109">
        <f>+C5-C8</f>
        <v>200000</v>
      </c>
      <c r="D11" s="109">
        <f t="shared" ref="D11:N11" si="0">+D5-D8</f>
        <v>200000</v>
      </c>
      <c r="E11" s="109">
        <f t="shared" si="0"/>
        <v>200000</v>
      </c>
      <c r="F11" s="109">
        <f t="shared" si="0"/>
        <v>200000</v>
      </c>
      <c r="G11" s="109">
        <f t="shared" si="0"/>
        <v>200000</v>
      </c>
      <c r="H11" s="109">
        <f t="shared" si="0"/>
        <v>200000</v>
      </c>
      <c r="I11" s="109">
        <f t="shared" si="0"/>
        <v>200000</v>
      </c>
      <c r="J11" s="109">
        <f t="shared" si="0"/>
        <v>200000</v>
      </c>
      <c r="K11" s="109">
        <f t="shared" si="0"/>
        <v>200000</v>
      </c>
      <c r="L11" s="109">
        <f t="shared" si="0"/>
        <v>200000</v>
      </c>
      <c r="M11" s="109">
        <f t="shared" si="0"/>
        <v>200000</v>
      </c>
      <c r="N11" s="109">
        <f t="shared" si="0"/>
        <v>200000</v>
      </c>
      <c r="O11" s="109"/>
      <c r="P11" s="109">
        <f>SUM(C11:N11)</f>
        <v>2400000</v>
      </c>
    </row>
    <row r="12" spans="1:16" x14ac:dyDescent="0.25">
      <c r="A12" s="101" t="s">
        <v>1</v>
      </c>
      <c r="B12" s="115" t="s">
        <v>68</v>
      </c>
      <c r="C12" s="116">
        <f>+C6-C9</f>
        <v>200000</v>
      </c>
      <c r="D12" s="116">
        <f t="shared" ref="D12:N12" si="1">+D6-D9</f>
        <v>400000</v>
      </c>
      <c r="E12" s="116">
        <f t="shared" si="1"/>
        <v>600000</v>
      </c>
      <c r="F12" s="116">
        <f t="shared" si="1"/>
        <v>800000</v>
      </c>
      <c r="G12" s="116">
        <f t="shared" si="1"/>
        <v>1000000</v>
      </c>
      <c r="H12" s="116">
        <f t="shared" si="1"/>
        <v>1200000</v>
      </c>
      <c r="I12" s="116">
        <f t="shared" si="1"/>
        <v>1400000</v>
      </c>
      <c r="J12" s="116">
        <f t="shared" si="1"/>
        <v>1600000</v>
      </c>
      <c r="K12" s="116">
        <f t="shared" si="1"/>
        <v>1800000</v>
      </c>
      <c r="L12" s="116">
        <f t="shared" si="1"/>
        <v>2000000</v>
      </c>
      <c r="M12" s="116">
        <f t="shared" si="1"/>
        <v>2200000</v>
      </c>
      <c r="N12" s="116">
        <f t="shared" si="1"/>
        <v>2400000</v>
      </c>
      <c r="O12" s="109"/>
      <c r="P12" s="116">
        <f>+P5-P8</f>
        <v>2400000</v>
      </c>
    </row>
    <row r="13" spans="1:16" x14ac:dyDescent="0.25">
      <c r="C13" s="111"/>
      <c r="D13" s="111"/>
      <c r="E13" s="111"/>
      <c r="F13" s="111"/>
      <c r="G13" s="111"/>
      <c r="H13" s="111"/>
      <c r="I13" s="111"/>
      <c r="J13" s="111"/>
      <c r="K13" s="112"/>
      <c r="L13" s="111"/>
      <c r="M13" s="111"/>
      <c r="N13" s="111"/>
      <c r="O13" s="111"/>
      <c r="P13" s="111"/>
    </row>
    <row r="14" spans="1:16" s="100" customFormat="1" x14ac:dyDescent="0.25">
      <c r="A14" s="101" t="s">
        <v>3</v>
      </c>
      <c r="B14" s="115" t="s">
        <v>53</v>
      </c>
      <c r="C14" s="116">
        <f t="shared" ref="C14:F14" si="2">+IF(C12&gt;C26,C26,C12)</f>
        <v>0</v>
      </c>
      <c r="D14" s="116">
        <f t="shared" si="2"/>
        <v>0</v>
      </c>
      <c r="E14" s="116">
        <f t="shared" si="2"/>
        <v>0</v>
      </c>
      <c r="F14" s="116">
        <f t="shared" si="2"/>
        <v>0</v>
      </c>
      <c r="G14" s="116">
        <f>+IF(G12&gt;G26,G26,G12)</f>
        <v>50000</v>
      </c>
      <c r="H14" s="116">
        <f>+IF(H12&gt;H26,H26,H12)</f>
        <v>50000</v>
      </c>
      <c r="I14" s="116">
        <f t="shared" ref="I14:N14" si="3">+IF(I12&gt;I26,I26,I12)</f>
        <v>50000</v>
      </c>
      <c r="J14" s="116">
        <f t="shared" si="3"/>
        <v>50000</v>
      </c>
      <c r="K14" s="116">
        <f t="shared" si="3"/>
        <v>50000</v>
      </c>
      <c r="L14" s="116">
        <f t="shared" si="3"/>
        <v>50000</v>
      </c>
      <c r="M14" s="116">
        <f t="shared" si="3"/>
        <v>50000</v>
      </c>
      <c r="N14" s="116">
        <f t="shared" si="3"/>
        <v>50000</v>
      </c>
      <c r="O14" s="109"/>
      <c r="P14" s="116">
        <f>+N14</f>
        <v>50000</v>
      </c>
    </row>
    <row r="15" spans="1:16" s="100" customFormat="1" x14ac:dyDescent="0.25">
      <c r="A15" s="9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</row>
    <row r="16" spans="1:16" s="100" customFormat="1" x14ac:dyDescent="0.25">
      <c r="A16" s="99"/>
      <c r="B16" s="102" t="s">
        <v>69</v>
      </c>
      <c r="C16" s="109">
        <f>+C12-C14</f>
        <v>200000</v>
      </c>
      <c r="D16" s="109">
        <f t="shared" ref="D16:P16" si="4">+D12-D14</f>
        <v>400000</v>
      </c>
      <c r="E16" s="109">
        <f t="shared" si="4"/>
        <v>600000</v>
      </c>
      <c r="F16" s="109">
        <f t="shared" si="4"/>
        <v>800000</v>
      </c>
      <c r="G16" s="109">
        <f t="shared" si="4"/>
        <v>950000</v>
      </c>
      <c r="H16" s="109">
        <f t="shared" si="4"/>
        <v>1150000</v>
      </c>
      <c r="I16" s="109">
        <f t="shared" si="4"/>
        <v>1350000</v>
      </c>
      <c r="J16" s="109">
        <f t="shared" si="4"/>
        <v>1550000</v>
      </c>
      <c r="K16" s="109">
        <f t="shared" si="4"/>
        <v>1750000</v>
      </c>
      <c r="L16" s="109">
        <f t="shared" si="4"/>
        <v>1950000</v>
      </c>
      <c r="M16" s="109">
        <f t="shared" si="4"/>
        <v>2150000</v>
      </c>
      <c r="N16" s="109">
        <f t="shared" si="4"/>
        <v>2350000</v>
      </c>
      <c r="O16" s="109"/>
      <c r="P16" s="109">
        <f t="shared" si="4"/>
        <v>2350000</v>
      </c>
    </row>
    <row r="17" spans="1:16" s="100" customFormat="1" x14ac:dyDescent="0.25">
      <c r="A17" s="9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</row>
    <row r="18" spans="1:16" x14ac:dyDescent="0.25">
      <c r="A18" s="101" t="s">
        <v>3</v>
      </c>
      <c r="B18" s="115" t="s">
        <v>55</v>
      </c>
      <c r="C18" s="116">
        <f>+IF(SUM(C16)&gt;C27,C27,C16)</f>
        <v>0</v>
      </c>
      <c r="D18" s="116">
        <f t="shared" ref="D18:N18" si="5">+IF(SUM(D16)&gt;D27,D27,D16)</f>
        <v>0</v>
      </c>
      <c r="E18" s="116">
        <f t="shared" si="5"/>
        <v>0</v>
      </c>
      <c r="F18" s="116">
        <f t="shared" si="5"/>
        <v>0</v>
      </c>
      <c r="G18" s="116">
        <f t="shared" si="5"/>
        <v>0</v>
      </c>
      <c r="H18" s="116">
        <f t="shared" si="5"/>
        <v>0</v>
      </c>
      <c r="I18" s="116">
        <f t="shared" si="5"/>
        <v>300000</v>
      </c>
      <c r="J18" s="116">
        <f t="shared" si="5"/>
        <v>300000</v>
      </c>
      <c r="K18" s="116">
        <f t="shared" si="5"/>
        <v>300000</v>
      </c>
      <c r="L18" s="116">
        <f t="shared" si="5"/>
        <v>300000</v>
      </c>
      <c r="M18" s="116">
        <f t="shared" si="5"/>
        <v>300000</v>
      </c>
      <c r="N18" s="116">
        <f t="shared" si="5"/>
        <v>300000</v>
      </c>
      <c r="O18" s="109"/>
      <c r="P18" s="116">
        <f>+N18</f>
        <v>300000</v>
      </c>
    </row>
    <row r="19" spans="1:16" x14ac:dyDescent="0.25"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</row>
    <row r="20" spans="1:16" s="97" customFormat="1" x14ac:dyDescent="0.25">
      <c r="A20" s="96" t="s">
        <v>1</v>
      </c>
      <c r="B20" s="119" t="s">
        <v>56</v>
      </c>
      <c r="C20" s="120">
        <f>+IF(C16&gt;SUM(C18),C16-SUM(C18),0)</f>
        <v>200000</v>
      </c>
      <c r="D20" s="120">
        <f t="shared" ref="D20:N20" si="6">+IF(D16&gt;SUM(D18),D16-SUM(D18),0)</f>
        <v>400000</v>
      </c>
      <c r="E20" s="120">
        <f t="shared" si="6"/>
        <v>600000</v>
      </c>
      <c r="F20" s="120">
        <f t="shared" si="6"/>
        <v>800000</v>
      </c>
      <c r="G20" s="120">
        <f t="shared" si="6"/>
        <v>950000</v>
      </c>
      <c r="H20" s="120">
        <f t="shared" si="6"/>
        <v>1150000</v>
      </c>
      <c r="I20" s="120">
        <f t="shared" si="6"/>
        <v>1050000</v>
      </c>
      <c r="J20" s="120">
        <f t="shared" si="6"/>
        <v>1250000</v>
      </c>
      <c r="K20" s="120">
        <f t="shared" si="6"/>
        <v>1450000</v>
      </c>
      <c r="L20" s="120">
        <f t="shared" si="6"/>
        <v>1650000</v>
      </c>
      <c r="M20" s="120">
        <f t="shared" si="6"/>
        <v>1850000</v>
      </c>
      <c r="N20" s="120">
        <f t="shared" si="6"/>
        <v>2050000</v>
      </c>
      <c r="O20" s="98"/>
      <c r="P20" s="120">
        <f>+P12-P14-P18</f>
        <v>2050000</v>
      </c>
    </row>
    <row r="21" spans="1:16" x14ac:dyDescent="0.25">
      <c r="A21" s="101" t="s">
        <v>2</v>
      </c>
      <c r="B21" s="102" t="s">
        <v>57</v>
      </c>
      <c r="C21" s="113">
        <v>0.3</v>
      </c>
      <c r="D21" s="113">
        <v>0.3</v>
      </c>
      <c r="E21" s="113">
        <v>0.3</v>
      </c>
      <c r="F21" s="113">
        <v>0.3</v>
      </c>
      <c r="G21" s="113">
        <v>0.3</v>
      </c>
      <c r="H21" s="113">
        <v>0.3</v>
      </c>
      <c r="I21" s="113">
        <v>0.3</v>
      </c>
      <c r="J21" s="113">
        <v>0.3</v>
      </c>
      <c r="K21" s="113">
        <v>0.3</v>
      </c>
      <c r="L21" s="113">
        <v>0.3</v>
      </c>
      <c r="M21" s="113">
        <v>0.3</v>
      </c>
      <c r="N21" s="113">
        <v>0.3</v>
      </c>
      <c r="O21" s="113"/>
      <c r="P21" s="113">
        <v>0.3</v>
      </c>
    </row>
    <row r="22" spans="1:16" s="97" customFormat="1" x14ac:dyDescent="0.25">
      <c r="A22" s="96" t="s">
        <v>1</v>
      </c>
      <c r="B22" s="121" t="s">
        <v>58</v>
      </c>
      <c r="C22" s="122">
        <f t="shared" ref="C22:N22" si="7">+C20*C21</f>
        <v>60000</v>
      </c>
      <c r="D22" s="122">
        <f t="shared" si="7"/>
        <v>120000</v>
      </c>
      <c r="E22" s="122">
        <f t="shared" si="7"/>
        <v>180000</v>
      </c>
      <c r="F22" s="122">
        <f t="shared" si="7"/>
        <v>240000</v>
      </c>
      <c r="G22" s="122">
        <f t="shared" si="7"/>
        <v>285000</v>
      </c>
      <c r="H22" s="122">
        <f t="shared" si="7"/>
        <v>345000</v>
      </c>
      <c r="I22" s="122">
        <f t="shared" si="7"/>
        <v>315000</v>
      </c>
      <c r="J22" s="122">
        <f t="shared" si="7"/>
        <v>375000</v>
      </c>
      <c r="K22" s="122">
        <f t="shared" si="7"/>
        <v>435000</v>
      </c>
      <c r="L22" s="122">
        <f t="shared" si="7"/>
        <v>495000</v>
      </c>
      <c r="M22" s="122">
        <f t="shared" si="7"/>
        <v>555000</v>
      </c>
      <c r="N22" s="122">
        <f t="shared" si="7"/>
        <v>615000</v>
      </c>
      <c r="O22" s="109"/>
      <c r="P22" s="122">
        <f>+P20*P21</f>
        <v>615000</v>
      </c>
    </row>
    <row r="23" spans="1:16" x14ac:dyDescent="0.25">
      <c r="A23" s="101" t="s">
        <v>3</v>
      </c>
      <c r="B23" s="102" t="s">
        <v>59</v>
      </c>
      <c r="C23" s="109">
        <v>0</v>
      </c>
      <c r="D23" s="109">
        <f>+C24</f>
        <v>60000</v>
      </c>
      <c r="E23" s="109">
        <f>+SUM($C$24:D24)</f>
        <v>120000</v>
      </c>
      <c r="F23" s="109">
        <f>+SUM($C$24:E24)</f>
        <v>180000</v>
      </c>
      <c r="G23" s="109">
        <f>+SUM($C$24:F24)</f>
        <v>240000</v>
      </c>
      <c r="H23" s="109">
        <f>+SUM($C$24:G24)</f>
        <v>285000</v>
      </c>
      <c r="I23" s="109">
        <f>+SUM($C$24:H24)</f>
        <v>345000</v>
      </c>
      <c r="J23" s="109">
        <f>+SUM($C$24:I24)</f>
        <v>345000</v>
      </c>
      <c r="K23" s="109">
        <f>+SUM($C$24:J24)</f>
        <v>375000</v>
      </c>
      <c r="L23" s="109">
        <f>+SUM($C$24:K24)</f>
        <v>435000</v>
      </c>
      <c r="M23" s="109">
        <f>+SUM($C$24:L24)</f>
        <v>495000</v>
      </c>
      <c r="N23" s="109">
        <f>+SUM($C$24:M24)</f>
        <v>555000</v>
      </c>
      <c r="O23" s="109"/>
      <c r="P23" s="109">
        <f>SUM(C24:N24)</f>
        <v>615000</v>
      </c>
    </row>
    <row r="24" spans="1:16" s="97" customFormat="1" x14ac:dyDescent="0.25">
      <c r="A24" s="96" t="s">
        <v>1</v>
      </c>
      <c r="B24" s="117" t="s">
        <v>9</v>
      </c>
      <c r="C24" s="118">
        <f t="shared" ref="C24:E24" si="8">+IF(C22&gt;C23,C22-C23,0)</f>
        <v>60000</v>
      </c>
      <c r="D24" s="118">
        <f t="shared" si="8"/>
        <v>60000</v>
      </c>
      <c r="E24" s="118">
        <f t="shared" si="8"/>
        <v>60000</v>
      </c>
      <c r="F24" s="118">
        <f>+IF(F22&gt;F23,F22-F23,0)</f>
        <v>60000</v>
      </c>
      <c r="G24" s="118">
        <f t="shared" ref="G24:N24" si="9">+IF(G22&gt;G23,G22-G23,0)</f>
        <v>45000</v>
      </c>
      <c r="H24" s="118">
        <f t="shared" si="9"/>
        <v>60000</v>
      </c>
      <c r="I24" s="118">
        <f t="shared" si="9"/>
        <v>0</v>
      </c>
      <c r="J24" s="118">
        <f t="shared" si="9"/>
        <v>30000</v>
      </c>
      <c r="K24" s="118">
        <f t="shared" si="9"/>
        <v>60000</v>
      </c>
      <c r="L24" s="118">
        <f t="shared" si="9"/>
        <v>60000</v>
      </c>
      <c r="M24" s="118">
        <f t="shared" si="9"/>
        <v>60000</v>
      </c>
      <c r="N24" s="118">
        <f t="shared" si="9"/>
        <v>60000</v>
      </c>
      <c r="O24" s="98"/>
      <c r="P24" s="118">
        <f>+P22-P23</f>
        <v>0</v>
      </c>
    </row>
    <row r="25" spans="1:16" x14ac:dyDescent="0.25">
      <c r="F25" s="109"/>
      <c r="G25" s="109"/>
      <c r="H25" s="109"/>
      <c r="I25" s="109"/>
      <c r="J25" s="109"/>
      <c r="K25" s="109"/>
      <c r="L25" s="109"/>
      <c r="M25" s="109"/>
      <c r="N25" s="109"/>
      <c r="O25" s="109"/>
    </row>
    <row r="26" spans="1:16" x14ac:dyDescent="0.25">
      <c r="B26" s="102" t="s">
        <v>53</v>
      </c>
      <c r="C26" s="109">
        <v>0</v>
      </c>
      <c r="D26" s="109">
        <v>0</v>
      </c>
      <c r="E26" s="109">
        <v>0</v>
      </c>
      <c r="F26" s="109">
        <v>0</v>
      </c>
      <c r="G26" s="109">
        <v>50000</v>
      </c>
      <c r="H26" s="109">
        <v>50000</v>
      </c>
      <c r="I26" s="109">
        <v>50000</v>
      </c>
      <c r="J26" s="109">
        <v>50000</v>
      </c>
      <c r="K26" s="109">
        <v>50000</v>
      </c>
      <c r="L26" s="109">
        <v>50000</v>
      </c>
      <c r="M26" s="109">
        <v>50000</v>
      </c>
      <c r="N26" s="109">
        <v>50000</v>
      </c>
      <c r="O26" s="109"/>
    </row>
    <row r="27" spans="1:16" x14ac:dyDescent="0.25">
      <c r="B27" s="102" t="s">
        <v>67</v>
      </c>
      <c r="C27" s="109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0</v>
      </c>
      <c r="I27" s="109">
        <v>300000</v>
      </c>
      <c r="J27" s="109">
        <v>300000</v>
      </c>
      <c r="K27" s="109">
        <v>300000</v>
      </c>
      <c r="L27" s="109">
        <v>300000</v>
      </c>
      <c r="M27" s="109">
        <v>300000</v>
      </c>
      <c r="N27" s="109">
        <v>300000</v>
      </c>
      <c r="O27" s="109"/>
    </row>
    <row r="28" spans="1:16" x14ac:dyDescent="0.25">
      <c r="F28" s="109"/>
      <c r="G28" s="109"/>
      <c r="H28" s="109"/>
      <c r="I28" s="109"/>
      <c r="J28" s="109"/>
      <c r="K28" s="109"/>
      <c r="L28" s="109"/>
      <c r="M28" s="109"/>
      <c r="N28" s="109"/>
      <c r="O28" s="109"/>
    </row>
    <row r="29" spans="1:16" x14ac:dyDescent="0.25"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spans="1:16" x14ac:dyDescent="0.25">
      <c r="F30" s="109"/>
      <c r="G30" s="109"/>
      <c r="H30" s="109"/>
      <c r="I30" s="109"/>
      <c r="J30" s="109"/>
      <c r="K30" s="109"/>
      <c r="L30" s="109"/>
      <c r="M30" s="109"/>
      <c r="N30" s="109"/>
      <c r="O30" s="109"/>
    </row>
    <row r="31" spans="1:16" x14ac:dyDescent="0.25">
      <c r="F31" s="109"/>
      <c r="G31" s="109"/>
      <c r="H31" s="109"/>
      <c r="I31" s="109"/>
      <c r="J31" s="109"/>
      <c r="K31" s="109"/>
      <c r="L31" s="109"/>
      <c r="M31" s="109"/>
      <c r="N31" s="109"/>
      <c r="O31" s="109"/>
    </row>
    <row r="32" spans="1:16" x14ac:dyDescent="0.25">
      <c r="B32" s="95" t="s">
        <v>60</v>
      </c>
      <c r="F32" s="109"/>
      <c r="G32" s="109"/>
      <c r="H32" s="109"/>
      <c r="I32" s="109"/>
      <c r="J32" s="109"/>
      <c r="K32" s="109"/>
      <c r="L32" s="109"/>
      <c r="M32" s="109"/>
      <c r="N32" s="109"/>
      <c r="O32" s="109"/>
    </row>
    <row r="33" spans="2:15" x14ac:dyDescent="0.25">
      <c r="B33" s="114" t="s">
        <v>61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</row>
  </sheetData>
  <conditionalFormatting sqref="C14:N14">
    <cfRule type="cellIs" dxfId="1" priority="2" operator="equal">
      <formula>0</formula>
    </cfRule>
  </conditionalFormatting>
  <conditionalFormatting sqref="C18:N18">
    <cfRule type="cellIs" dxfId="0" priority="1" operator="equal">
      <formula>0</formula>
    </cfRule>
  </conditionalFormatting>
  <hyperlinks>
    <hyperlink ref="B33" r:id="rId1" xr:uid="{00000000-0004-0000-0300-00000000000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Personas Físicas</vt:lpstr>
      <vt:lpstr>ISR </vt:lpstr>
      <vt:lpstr>IVA </vt:lpstr>
      <vt:lpstr>PF Sector Primario</vt:lpstr>
      <vt:lpstr>Personas Morales</vt:lpstr>
      <vt:lpstr>T_ISR2022</vt:lpstr>
      <vt:lpstr>t_isrm2022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Beltran</dc:creator>
  <cp:lastModifiedBy>ANGEL</cp:lastModifiedBy>
  <dcterms:created xsi:type="dcterms:W3CDTF">2021-11-01T22:21:09Z</dcterms:created>
  <dcterms:modified xsi:type="dcterms:W3CDTF">2025-05-10T01:58:45Z</dcterms:modified>
</cp:coreProperties>
</file>